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 tabRatio="596" firstSheet="4" activeTab="7"/>
  </bookViews>
  <sheets>
    <sheet name="Per Tw" sheetId="1" r:id="rId1"/>
    <sheet name="Target &amp; Realisasi" sheetId="2" r:id="rId2"/>
    <sheet name="PMDN sektor" sheetId="7" r:id="rId3"/>
    <sheet name="PMDN LOKASI" sheetId="3" r:id="rId4"/>
    <sheet name="PMA PERLOKASI" sheetId="4" r:id="rId5"/>
    <sheet name="PMA sektor" sheetId="15" r:id="rId6"/>
    <sheet name="PMA ASAL NEGARA" sheetId="9" r:id="rId7"/>
    <sheet name="total PMDN dan PMA LOKASI" sheetId="10" r:id="rId8"/>
    <sheet name="total PMDN&amp;Sektor sektor" sheetId="11" r:id="rId9"/>
    <sheet name="total PMDN dan PMA LOKASIPROYEK" sheetId="13" r:id="rId10"/>
    <sheet name="Sheet1" sheetId="14" r:id="rId11"/>
  </sheets>
  <definedNames>
    <definedName name="_xlnm.Print_Area" localSheetId="0">'Per Tw'!$A$1:$G$43</definedName>
    <definedName name="_xlnm.Print_Area" localSheetId="6">'PMA ASAL NEGARA'!$B$1:$X$54</definedName>
    <definedName name="_xlnm.Print_Area" localSheetId="4">'PMA PERLOKASI'!$B$1:$W$40</definedName>
    <definedName name="_xlnm.Print_Area" localSheetId="5">'PMA sektor'!$B$1:$W$46</definedName>
    <definedName name="_xlnm.Print_Area" localSheetId="3">'PMDN LOKASI'!$B$1:$Y$106</definedName>
    <definedName name="_xlnm.Print_Area" localSheetId="2">'PMDN sektor'!$B$1:$W$46</definedName>
    <definedName name="_xlnm.Print_Area" localSheetId="1">'Target &amp; Realisasi'!$A$1:$E$32</definedName>
    <definedName name="_xlnm.Print_Area" localSheetId="7">'total PMDN dan PMA LOKASI'!$B$1:$AH$40</definedName>
    <definedName name="_xlnm.Print_Area" localSheetId="8">'total PMDN&amp;Sektor sektor'!$A$1:$AA$49</definedName>
    <definedName name="_xlnm.Print_Titles" localSheetId="6">'PMA ASAL NEGARA'!$12:$14</definedName>
    <definedName name="_xlnm.Print_Titles" localSheetId="5">'PMA sektor'!$B:$C,'PMA sektor'!$12:$14</definedName>
    <definedName name="_xlnm.Print_Titles" localSheetId="2">'PMDN sektor'!$B:$C,'PMDN sektor'!$12:$14</definedName>
    <definedName name="_xlnm.Print_Titles" localSheetId="7">'total PMDN dan PMA LOKASI'!$B:$C</definedName>
    <definedName name="_xlnm.Print_Titles" localSheetId="9">'total PMDN dan PMA LOKASIPROYEK'!$A:$C,'total PMDN dan PMA LOKASIPROYEK'!$14:$16</definedName>
    <definedName name="_xlnm.Print_Titles" localSheetId="8">'total PMDN&amp;Sektor sektor'!$B:$C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0" l="1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17" i="10"/>
  <c r="D47" i="4"/>
  <c r="D48" i="4" s="1"/>
  <c r="E17" i="10"/>
  <c r="D17" i="10"/>
  <c r="F17" i="10" s="1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D18" i="10"/>
  <c r="F18" i="10" s="1"/>
  <c r="D19" i="10"/>
  <c r="F19" i="10" s="1"/>
  <c r="D20" i="10"/>
  <c r="F20" i="10" s="1"/>
  <c r="D21" i="10"/>
  <c r="F21" i="10" s="1"/>
  <c r="D22" i="10"/>
  <c r="F22" i="10" s="1"/>
  <c r="D23" i="10"/>
  <c r="F23" i="10" s="1"/>
  <c r="D24" i="10"/>
  <c r="F24" i="10" s="1"/>
  <c r="D25" i="10"/>
  <c r="F25" i="10" s="1"/>
  <c r="D26" i="10"/>
  <c r="F26" i="10" s="1"/>
  <c r="D27" i="10"/>
  <c r="F27" i="10" s="1"/>
  <c r="D28" i="10"/>
  <c r="F28" i="10" s="1"/>
  <c r="D29" i="10"/>
  <c r="F29" i="10" s="1"/>
  <c r="D30" i="10"/>
  <c r="F30" i="10" s="1"/>
  <c r="D31" i="10"/>
  <c r="F31" i="10" s="1"/>
  <c r="D32" i="10"/>
  <c r="F32" i="10" s="1"/>
  <c r="D33" i="10"/>
  <c r="F33" i="10" s="1"/>
  <c r="D34" i="10"/>
  <c r="F34" i="10" s="1"/>
  <c r="D35" i="10"/>
  <c r="F35" i="10" s="1"/>
  <c r="D36" i="10"/>
  <c r="F36" i="10" s="1"/>
  <c r="D37" i="10"/>
  <c r="F37" i="10" s="1"/>
  <c r="D82" i="10"/>
  <c r="T54" i="9"/>
  <c r="W18" i="9"/>
  <c r="W53" i="9" s="1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17" i="9"/>
  <c r="V18" i="9"/>
  <c r="V53" i="9" s="1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17" i="9"/>
  <c r="U45" i="9"/>
  <c r="U53" i="9" s="1"/>
  <c r="U46" i="9"/>
  <c r="U47" i="9"/>
  <c r="U48" i="9"/>
  <c r="U49" i="9"/>
  <c r="U50" i="9"/>
  <c r="U51" i="9"/>
  <c r="U52" i="9"/>
  <c r="T45" i="9"/>
  <c r="T46" i="9"/>
  <c r="T47" i="9"/>
  <c r="T48" i="9"/>
  <c r="T49" i="9"/>
  <c r="T50" i="9"/>
  <c r="T51" i="9"/>
  <c r="T52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E53" i="9"/>
  <c r="F53" i="9"/>
  <c r="G53" i="9"/>
  <c r="D53" i="9"/>
  <c r="F39" i="10" l="1"/>
  <c r="E39" i="10"/>
  <c r="D39" i="10"/>
  <c r="D84" i="10" s="1"/>
  <c r="D54" i="9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17" i="4"/>
  <c r="D49" i="15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17" i="4"/>
  <c r="E39" i="4"/>
  <c r="F39" i="4"/>
  <c r="G39" i="4"/>
  <c r="D39" i="4"/>
  <c r="D40" i="4" s="1"/>
  <c r="W45" i="15"/>
  <c r="V45" i="15"/>
  <c r="U45" i="15"/>
  <c r="T45" i="15"/>
  <c r="W44" i="15"/>
  <c r="V44" i="15"/>
  <c r="U44" i="15"/>
  <c r="T44" i="15"/>
  <c r="W43" i="15"/>
  <c r="V43" i="15"/>
  <c r="U43" i="15"/>
  <c r="U37" i="15" s="1"/>
  <c r="T43" i="15"/>
  <c r="Z42" i="15"/>
  <c r="W42" i="15"/>
  <c r="V42" i="15"/>
  <c r="U42" i="15"/>
  <c r="T42" i="15"/>
  <c r="W41" i="15"/>
  <c r="V41" i="15"/>
  <c r="U41" i="15"/>
  <c r="T41" i="15"/>
  <c r="W40" i="15"/>
  <c r="V40" i="15"/>
  <c r="U40" i="15"/>
  <c r="T40" i="15"/>
  <c r="W39" i="15"/>
  <c r="V39" i="15"/>
  <c r="U39" i="15"/>
  <c r="T39" i="15"/>
  <c r="W38" i="15"/>
  <c r="V38" i="15"/>
  <c r="V37" i="15" s="1"/>
  <c r="U38" i="15"/>
  <c r="T38" i="15"/>
  <c r="R37" i="15"/>
  <c r="R46" i="15" s="1"/>
  <c r="Q37" i="15"/>
  <c r="Q46" i="15" s="1"/>
  <c r="P37" i="15"/>
  <c r="P46" i="15" s="1"/>
  <c r="N37" i="15"/>
  <c r="N46" i="15" s="1"/>
  <c r="M37" i="15"/>
  <c r="M46" i="15" s="1"/>
  <c r="L37" i="15"/>
  <c r="L46" i="15" s="1"/>
  <c r="J37" i="15"/>
  <c r="J46" i="15" s="1"/>
  <c r="I37" i="15"/>
  <c r="I46" i="15" s="1"/>
  <c r="H37" i="15"/>
  <c r="H46" i="15" s="1"/>
  <c r="G37" i="15"/>
  <c r="F37" i="15"/>
  <c r="E37" i="15"/>
  <c r="D37" i="15"/>
  <c r="W36" i="15"/>
  <c r="W35" i="15"/>
  <c r="V35" i="15"/>
  <c r="U35" i="15"/>
  <c r="T35" i="15"/>
  <c r="W34" i="15"/>
  <c r="V34" i="15"/>
  <c r="U34" i="15"/>
  <c r="T34" i="15"/>
  <c r="W33" i="15"/>
  <c r="V33" i="15"/>
  <c r="U33" i="15"/>
  <c r="T33" i="15"/>
  <c r="W32" i="15"/>
  <c r="V32" i="15"/>
  <c r="U32" i="15"/>
  <c r="T32" i="15"/>
  <c r="W31" i="15"/>
  <c r="V31" i="15"/>
  <c r="T31" i="15"/>
  <c r="W30" i="15"/>
  <c r="V30" i="15"/>
  <c r="U30" i="15"/>
  <c r="T30" i="15"/>
  <c r="W29" i="15"/>
  <c r="V29" i="15"/>
  <c r="U29" i="15"/>
  <c r="T29" i="15"/>
  <c r="W28" i="15"/>
  <c r="V28" i="15"/>
  <c r="U28" i="15"/>
  <c r="T28" i="15"/>
  <c r="W27" i="15"/>
  <c r="V27" i="15"/>
  <c r="U27" i="15"/>
  <c r="T27" i="15"/>
  <c r="W26" i="15"/>
  <c r="V26" i="15"/>
  <c r="U26" i="15"/>
  <c r="T26" i="15"/>
  <c r="W25" i="15"/>
  <c r="V25" i="15"/>
  <c r="U25" i="15"/>
  <c r="T25" i="15"/>
  <c r="W24" i="15"/>
  <c r="V24" i="15"/>
  <c r="U24" i="15"/>
  <c r="T24" i="15"/>
  <c r="W23" i="15"/>
  <c r="V23" i="15"/>
  <c r="U23" i="15"/>
  <c r="U22" i="15" s="1"/>
  <c r="T23" i="15"/>
  <c r="R22" i="15"/>
  <c r="Q22" i="15"/>
  <c r="P22" i="15"/>
  <c r="N22" i="15"/>
  <c r="M22" i="15"/>
  <c r="L22" i="15"/>
  <c r="J22" i="15"/>
  <c r="I22" i="15"/>
  <c r="H22" i="15"/>
  <c r="G22" i="15"/>
  <c r="W22" i="15" s="1"/>
  <c r="F22" i="15"/>
  <c r="E22" i="15"/>
  <c r="D22" i="15"/>
  <c r="W21" i="15"/>
  <c r="W20" i="15"/>
  <c r="V20" i="15"/>
  <c r="V16" i="15" s="1"/>
  <c r="U20" i="15"/>
  <c r="T20" i="15"/>
  <c r="T16" i="15" s="1"/>
  <c r="W19" i="15"/>
  <c r="V19" i="15"/>
  <c r="U19" i="15"/>
  <c r="T19" i="15"/>
  <c r="W18" i="15"/>
  <c r="V18" i="15"/>
  <c r="U18" i="15"/>
  <c r="T18" i="15"/>
  <c r="W17" i="15"/>
  <c r="V17" i="15"/>
  <c r="U17" i="15"/>
  <c r="T17" i="15"/>
  <c r="U16" i="15"/>
  <c r="R16" i="15"/>
  <c r="Q16" i="15"/>
  <c r="P16" i="15"/>
  <c r="N16" i="15"/>
  <c r="M16" i="15"/>
  <c r="L16" i="15"/>
  <c r="J16" i="15"/>
  <c r="I16" i="15"/>
  <c r="H16" i="15"/>
  <c r="G16" i="15"/>
  <c r="W16" i="15" s="1"/>
  <c r="F16" i="15"/>
  <c r="E16" i="15"/>
  <c r="D16" i="15"/>
  <c r="V46" i="7"/>
  <c r="W46" i="7"/>
  <c r="W17" i="7"/>
  <c r="W18" i="7"/>
  <c r="W19" i="7"/>
  <c r="W20" i="7"/>
  <c r="W21" i="7"/>
  <c r="W22" i="7"/>
  <c r="W23" i="7"/>
  <c r="W24" i="7"/>
  <c r="W25" i="7"/>
  <c r="W26" i="7"/>
  <c r="W27" i="7"/>
  <c r="W28" i="7"/>
  <c r="W29" i="7"/>
  <c r="W30" i="7"/>
  <c r="W31" i="7"/>
  <c r="W32" i="7"/>
  <c r="W33" i="7"/>
  <c r="W34" i="7"/>
  <c r="W35" i="7"/>
  <c r="W36" i="7"/>
  <c r="W37" i="7"/>
  <c r="W38" i="7"/>
  <c r="W39" i="7"/>
  <c r="W40" i="7"/>
  <c r="W41" i="7"/>
  <c r="W42" i="7"/>
  <c r="W43" i="7"/>
  <c r="W44" i="7"/>
  <c r="W45" i="7"/>
  <c r="W16" i="7"/>
  <c r="V39" i="3"/>
  <c r="W39" i="3"/>
  <c r="W18" i="3"/>
  <c r="W19" i="3"/>
  <c r="W20" i="3"/>
  <c r="W21" i="3"/>
  <c r="W22" i="3"/>
  <c r="W23" i="3"/>
  <c r="W24" i="3"/>
  <c r="W25" i="3"/>
  <c r="W26" i="3"/>
  <c r="W27" i="3"/>
  <c r="W28" i="3"/>
  <c r="W31" i="3"/>
  <c r="W32" i="3"/>
  <c r="W33" i="3"/>
  <c r="W34" i="3"/>
  <c r="W35" i="3"/>
  <c r="W36" i="3"/>
  <c r="W37" i="3"/>
  <c r="W38" i="3"/>
  <c r="V37" i="3"/>
  <c r="V36" i="3"/>
  <c r="V35" i="3"/>
  <c r="V34" i="3"/>
  <c r="V33" i="3"/>
  <c r="V32" i="3"/>
  <c r="V31" i="3"/>
  <c r="V18" i="3"/>
  <c r="V19" i="3"/>
  <c r="V20" i="3"/>
  <c r="V21" i="3"/>
  <c r="V22" i="3"/>
  <c r="V23" i="3"/>
  <c r="V24" i="3"/>
  <c r="V25" i="3"/>
  <c r="V26" i="3"/>
  <c r="V27" i="3"/>
  <c r="V28" i="3"/>
  <c r="V17" i="3"/>
  <c r="W17" i="3"/>
  <c r="AS92" i="13"/>
  <c r="AS91" i="13"/>
  <c r="AR91" i="13"/>
  <c r="AR90" i="13"/>
  <c r="AR89" i="13"/>
  <c r="AO89" i="13"/>
  <c r="AO86" i="13"/>
  <c r="S84" i="13"/>
  <c r="AL77" i="13"/>
  <c r="AK77" i="13"/>
  <c r="AJ77" i="13"/>
  <c r="Z77" i="13"/>
  <c r="Y77" i="13"/>
  <c r="X77" i="13"/>
  <c r="N77" i="13"/>
  <c r="M77" i="13"/>
  <c r="L77" i="13"/>
  <c r="J77" i="13"/>
  <c r="I77" i="13"/>
  <c r="H77" i="13"/>
  <c r="AL75" i="13"/>
  <c r="AK75" i="13"/>
  <c r="AJ75" i="13"/>
  <c r="AL74" i="13"/>
  <c r="AK74" i="13"/>
  <c r="AJ74" i="13"/>
  <c r="AL73" i="13"/>
  <c r="AK73" i="13"/>
  <c r="AJ73" i="13"/>
  <c r="AL72" i="13"/>
  <c r="AK72" i="13"/>
  <c r="AJ72" i="13"/>
  <c r="AL71" i="13"/>
  <c r="AK71" i="13"/>
  <c r="AJ71" i="13"/>
  <c r="AL70" i="13"/>
  <c r="AK70" i="13"/>
  <c r="AJ70" i="13"/>
  <c r="AL69" i="13"/>
  <c r="AK69" i="13"/>
  <c r="AJ69" i="13"/>
  <c r="AL68" i="13"/>
  <c r="AK68" i="13"/>
  <c r="AJ68" i="13"/>
  <c r="Z68" i="13"/>
  <c r="Y68" i="13"/>
  <c r="X68" i="13"/>
  <c r="N68" i="13"/>
  <c r="M68" i="13"/>
  <c r="L68" i="13"/>
  <c r="J68" i="13"/>
  <c r="I68" i="13"/>
  <c r="H68" i="13"/>
  <c r="AL66" i="13"/>
  <c r="AK66" i="13"/>
  <c r="AJ66" i="13"/>
  <c r="AL65" i="13"/>
  <c r="AK65" i="13"/>
  <c r="AJ65" i="13"/>
  <c r="AL64" i="13"/>
  <c r="AK64" i="13"/>
  <c r="AJ64" i="13"/>
  <c r="AL63" i="13"/>
  <c r="AK63" i="13"/>
  <c r="AJ63" i="13"/>
  <c r="AL62" i="13"/>
  <c r="AK62" i="13"/>
  <c r="AJ62" i="13"/>
  <c r="AL61" i="13"/>
  <c r="AK61" i="13"/>
  <c r="AJ61" i="13"/>
  <c r="AL60" i="13"/>
  <c r="AK60" i="13"/>
  <c r="AJ60" i="13"/>
  <c r="AL59" i="13"/>
  <c r="AK59" i="13"/>
  <c r="AJ59" i="13"/>
  <c r="AL58" i="13"/>
  <c r="AK58" i="13"/>
  <c r="AJ58" i="13"/>
  <c r="AL57" i="13"/>
  <c r="AK57" i="13"/>
  <c r="AJ57" i="13"/>
  <c r="AL56" i="13"/>
  <c r="AK56" i="13"/>
  <c r="AJ56" i="13"/>
  <c r="AL55" i="13"/>
  <c r="AK55" i="13"/>
  <c r="AJ55" i="13"/>
  <c r="AL54" i="13"/>
  <c r="AK54" i="13"/>
  <c r="AJ54" i="13"/>
  <c r="Z54" i="13"/>
  <c r="Y54" i="13"/>
  <c r="X54" i="13"/>
  <c r="N54" i="13"/>
  <c r="M54" i="13"/>
  <c r="L54" i="13"/>
  <c r="J54" i="13"/>
  <c r="I54" i="13"/>
  <c r="H54" i="13"/>
  <c r="AL52" i="13"/>
  <c r="AK52" i="13"/>
  <c r="AJ52" i="13"/>
  <c r="AL51" i="13"/>
  <c r="AK51" i="13"/>
  <c r="AJ51" i="13"/>
  <c r="AL50" i="13"/>
  <c r="AK50" i="13"/>
  <c r="AJ50" i="13"/>
  <c r="AL49" i="13"/>
  <c r="AK49" i="13"/>
  <c r="AJ49" i="13"/>
  <c r="AL48" i="13"/>
  <c r="AK48" i="13"/>
  <c r="AJ48" i="13"/>
  <c r="Z48" i="13"/>
  <c r="Y48" i="13"/>
  <c r="X48" i="13"/>
  <c r="N48" i="13"/>
  <c r="M48" i="13"/>
  <c r="L48" i="13"/>
  <c r="J48" i="13"/>
  <c r="I48" i="13"/>
  <c r="H48" i="13"/>
  <c r="AX41" i="13"/>
  <c r="AW41" i="13"/>
  <c r="AV41" i="13"/>
  <c r="AU41" i="13"/>
  <c r="AT41" i="13"/>
  <c r="AS41" i="13"/>
  <c r="AR41" i="13"/>
  <c r="AQ41" i="13"/>
  <c r="AP41" i="13"/>
  <c r="AO41" i="13"/>
  <c r="AN41" i="13"/>
  <c r="AM41" i="13"/>
  <c r="AL41" i="13"/>
  <c r="AK41" i="13"/>
  <c r="AJ41" i="13"/>
  <c r="AI41" i="13"/>
  <c r="AH41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AU40" i="13"/>
  <c r="AT40" i="13"/>
  <c r="AS40" i="13"/>
  <c r="AR40" i="13"/>
  <c r="AQ40" i="13"/>
  <c r="AP40" i="13"/>
  <c r="AO40" i="13"/>
  <c r="AN40" i="13"/>
  <c r="AM40" i="13"/>
  <c r="AL40" i="13"/>
  <c r="AK40" i="13"/>
  <c r="AJ40" i="13"/>
  <c r="AU39" i="13"/>
  <c r="AT39" i="13"/>
  <c r="AS39" i="13"/>
  <c r="AR39" i="13"/>
  <c r="AQ39" i="13"/>
  <c r="AP39" i="13"/>
  <c r="AO39" i="13"/>
  <c r="AN39" i="13"/>
  <c r="AM39" i="13"/>
  <c r="AL39" i="13"/>
  <c r="AK39" i="13"/>
  <c r="AJ39" i="13"/>
  <c r="AU38" i="13"/>
  <c r="AT38" i="13"/>
  <c r="AS38" i="13"/>
  <c r="AR38" i="13"/>
  <c r="AQ38" i="13"/>
  <c r="AP38" i="13"/>
  <c r="AO38" i="13"/>
  <c r="AN38" i="13"/>
  <c r="AM38" i="13"/>
  <c r="AL38" i="13"/>
  <c r="AK38" i="13"/>
  <c r="AJ38" i="13"/>
  <c r="AU37" i="13"/>
  <c r="AT37" i="13"/>
  <c r="AS37" i="13"/>
  <c r="AR37" i="13"/>
  <c r="AQ37" i="13"/>
  <c r="AP37" i="13"/>
  <c r="AO37" i="13"/>
  <c r="AN37" i="13"/>
  <c r="AM37" i="13"/>
  <c r="AL37" i="13"/>
  <c r="AK37" i="13"/>
  <c r="AJ37" i="13"/>
  <c r="AU36" i="13"/>
  <c r="AT36" i="13"/>
  <c r="AS36" i="13"/>
  <c r="AR36" i="13"/>
  <c r="AQ36" i="13"/>
  <c r="AP36" i="13"/>
  <c r="AO36" i="13"/>
  <c r="AN36" i="13"/>
  <c r="AM36" i="13"/>
  <c r="AL36" i="13"/>
  <c r="AK36" i="13"/>
  <c r="AJ36" i="13"/>
  <c r="AB36" i="13"/>
  <c r="T36" i="13"/>
  <c r="AU35" i="13"/>
  <c r="AT35" i="13"/>
  <c r="AS35" i="13"/>
  <c r="AR35" i="13"/>
  <c r="AQ35" i="13"/>
  <c r="AP35" i="13"/>
  <c r="AO35" i="13"/>
  <c r="AN35" i="13"/>
  <c r="AM35" i="13"/>
  <c r="AL35" i="13"/>
  <c r="AK35" i="13"/>
  <c r="AJ35" i="13"/>
  <c r="AU34" i="13"/>
  <c r="AT34" i="13"/>
  <c r="AS34" i="13"/>
  <c r="AR34" i="13"/>
  <c r="AQ34" i="13"/>
  <c r="AP34" i="13"/>
  <c r="AO34" i="13"/>
  <c r="AN34" i="13"/>
  <c r="AM34" i="13"/>
  <c r="AL34" i="13"/>
  <c r="AK34" i="13"/>
  <c r="AJ34" i="13"/>
  <c r="AU33" i="13"/>
  <c r="AT33" i="13"/>
  <c r="AS33" i="13"/>
  <c r="AR33" i="13"/>
  <c r="AQ33" i="13"/>
  <c r="AP33" i="13"/>
  <c r="AO33" i="13"/>
  <c r="AN33" i="13"/>
  <c r="AM33" i="13"/>
  <c r="AL33" i="13"/>
  <c r="AK33" i="13"/>
  <c r="AJ33" i="13"/>
  <c r="AB33" i="13"/>
  <c r="T33" i="13"/>
  <c r="L33" i="13"/>
  <c r="D33" i="13"/>
  <c r="AU32" i="13"/>
  <c r="AT32" i="13"/>
  <c r="AS32" i="13"/>
  <c r="AR32" i="13"/>
  <c r="AQ32" i="13"/>
  <c r="AP32" i="13"/>
  <c r="AO32" i="13"/>
  <c r="AN32" i="13"/>
  <c r="AM32" i="13"/>
  <c r="AL32" i="13"/>
  <c r="AK32" i="13"/>
  <c r="AJ32" i="13"/>
  <c r="AU31" i="13"/>
  <c r="AT31" i="13"/>
  <c r="AS31" i="13"/>
  <c r="AR31" i="13"/>
  <c r="AQ31" i="13"/>
  <c r="AP31" i="13"/>
  <c r="AO31" i="13"/>
  <c r="AN31" i="13"/>
  <c r="AM31" i="13"/>
  <c r="AL31" i="13"/>
  <c r="AK31" i="13"/>
  <c r="AJ31" i="13"/>
  <c r="AU30" i="13"/>
  <c r="AT30" i="13"/>
  <c r="AS30" i="13"/>
  <c r="AR30" i="13"/>
  <c r="AQ30" i="13"/>
  <c r="AP30" i="13"/>
  <c r="AO30" i="13"/>
  <c r="AN30" i="13"/>
  <c r="AM30" i="13"/>
  <c r="AL30" i="13"/>
  <c r="AK30" i="13"/>
  <c r="AJ30" i="13"/>
  <c r="AB30" i="13"/>
  <c r="T30" i="13"/>
  <c r="L30" i="13"/>
  <c r="D30" i="13"/>
  <c r="AU29" i="13"/>
  <c r="AT29" i="13"/>
  <c r="AS29" i="13"/>
  <c r="AR29" i="13"/>
  <c r="AQ29" i="13"/>
  <c r="AP29" i="13"/>
  <c r="AO29" i="13"/>
  <c r="AN29" i="13"/>
  <c r="AM29" i="13"/>
  <c r="AL29" i="13"/>
  <c r="AK29" i="13"/>
  <c r="AJ29" i="13"/>
  <c r="AB29" i="13"/>
  <c r="T29" i="13"/>
  <c r="L29" i="13"/>
  <c r="D29" i="13"/>
  <c r="AU28" i="13"/>
  <c r="AT28" i="13"/>
  <c r="AS28" i="13"/>
  <c r="AR28" i="13"/>
  <c r="AQ28" i="13"/>
  <c r="AP28" i="13"/>
  <c r="AO28" i="13"/>
  <c r="AN28" i="13"/>
  <c r="AM28" i="13"/>
  <c r="AL28" i="13"/>
  <c r="AK28" i="13"/>
  <c r="AJ28" i="13"/>
  <c r="AB28" i="13"/>
  <c r="T28" i="13"/>
  <c r="L28" i="13"/>
  <c r="D28" i="13"/>
  <c r="AU27" i="13"/>
  <c r="AT27" i="13"/>
  <c r="AS27" i="13"/>
  <c r="AR27" i="13"/>
  <c r="AQ27" i="13"/>
  <c r="AP27" i="13"/>
  <c r="AO27" i="13"/>
  <c r="AN27" i="13"/>
  <c r="AM27" i="13"/>
  <c r="AL27" i="13"/>
  <c r="AK27" i="13"/>
  <c r="AJ27" i="13"/>
  <c r="L27" i="13"/>
  <c r="D27" i="13"/>
  <c r="AU26" i="13"/>
  <c r="AT26" i="13"/>
  <c r="AS26" i="13"/>
  <c r="AR26" i="13"/>
  <c r="AQ26" i="13"/>
  <c r="AP26" i="13"/>
  <c r="AO26" i="13"/>
  <c r="AN26" i="13"/>
  <c r="AM26" i="13"/>
  <c r="AL26" i="13"/>
  <c r="AK26" i="13"/>
  <c r="AJ26" i="13"/>
  <c r="AB26" i="13"/>
  <c r="T26" i="13"/>
  <c r="L26" i="13"/>
  <c r="D26" i="13"/>
  <c r="AU25" i="13"/>
  <c r="AT25" i="13"/>
  <c r="AS25" i="13"/>
  <c r="AR25" i="13"/>
  <c r="AQ25" i="13"/>
  <c r="AP25" i="13"/>
  <c r="AO25" i="13"/>
  <c r="AN25" i="13"/>
  <c r="AM25" i="13"/>
  <c r="AL25" i="13"/>
  <c r="AK25" i="13"/>
  <c r="AJ25" i="13"/>
  <c r="AB25" i="13"/>
  <c r="T25" i="13"/>
  <c r="L25" i="13"/>
  <c r="D25" i="13"/>
  <c r="AU24" i="13"/>
  <c r="AT24" i="13"/>
  <c r="AS24" i="13"/>
  <c r="AR24" i="13"/>
  <c r="AQ24" i="13"/>
  <c r="AP24" i="13"/>
  <c r="AO24" i="13"/>
  <c r="AN24" i="13"/>
  <c r="AM24" i="13"/>
  <c r="AL24" i="13"/>
  <c r="AK24" i="13"/>
  <c r="AJ24" i="13"/>
  <c r="AB24" i="13"/>
  <c r="T24" i="13"/>
  <c r="L24" i="13"/>
  <c r="D24" i="13"/>
  <c r="AU23" i="13"/>
  <c r="AT23" i="13"/>
  <c r="AS23" i="13"/>
  <c r="AR23" i="13"/>
  <c r="AQ23" i="13"/>
  <c r="AP23" i="13"/>
  <c r="AO23" i="13"/>
  <c r="AN23" i="13"/>
  <c r="AM23" i="13"/>
  <c r="AL23" i="13"/>
  <c r="AK23" i="13"/>
  <c r="AJ23" i="13"/>
  <c r="D23" i="13"/>
  <c r="AU22" i="13"/>
  <c r="AT22" i="13"/>
  <c r="AS22" i="13"/>
  <c r="AR22" i="13"/>
  <c r="AQ22" i="13"/>
  <c r="AP22" i="13"/>
  <c r="AO22" i="13"/>
  <c r="AN22" i="13"/>
  <c r="AM22" i="13"/>
  <c r="AL22" i="13"/>
  <c r="AK22" i="13"/>
  <c r="AJ22" i="13"/>
  <c r="L22" i="13"/>
  <c r="AU21" i="13"/>
  <c r="AT21" i="13"/>
  <c r="AS21" i="13"/>
  <c r="AR21" i="13"/>
  <c r="AQ21" i="13"/>
  <c r="AP21" i="13"/>
  <c r="AO21" i="13"/>
  <c r="AN21" i="13"/>
  <c r="AM21" i="13"/>
  <c r="AL21" i="13"/>
  <c r="AK21" i="13"/>
  <c r="AJ21" i="13"/>
  <c r="AB21" i="13"/>
  <c r="T21" i="13"/>
  <c r="L21" i="13"/>
  <c r="D21" i="13"/>
  <c r="AU20" i="13"/>
  <c r="AT20" i="13"/>
  <c r="AS20" i="13"/>
  <c r="AR20" i="13"/>
  <c r="AQ20" i="13"/>
  <c r="AP20" i="13"/>
  <c r="AO20" i="13"/>
  <c r="AN20" i="13"/>
  <c r="AM20" i="13"/>
  <c r="AL20" i="13"/>
  <c r="AK20" i="13"/>
  <c r="AJ20" i="13"/>
  <c r="AB20" i="13"/>
  <c r="T20" i="13"/>
  <c r="L20" i="13"/>
  <c r="D20" i="13"/>
  <c r="AU19" i="13"/>
  <c r="AT19" i="13"/>
  <c r="AS19" i="13"/>
  <c r="AR19" i="13"/>
  <c r="AQ19" i="13"/>
  <c r="AP19" i="13"/>
  <c r="AO19" i="13"/>
  <c r="AN19" i="13"/>
  <c r="AM19" i="13"/>
  <c r="AL19" i="13"/>
  <c r="AK19" i="13"/>
  <c r="AJ19" i="13"/>
  <c r="AB19" i="13"/>
  <c r="T19" i="13"/>
  <c r="D19" i="13"/>
  <c r="X45" i="11"/>
  <c r="V45" i="11"/>
  <c r="N45" i="11"/>
  <c r="F45" i="11"/>
  <c r="AA43" i="11"/>
  <c r="Z43" i="11"/>
  <c r="Y43" i="11"/>
  <c r="AA42" i="11"/>
  <c r="Z42" i="11"/>
  <c r="Y42" i="11"/>
  <c r="AA41" i="11"/>
  <c r="Z41" i="11"/>
  <c r="Y41" i="11"/>
  <c r="AA40" i="11"/>
  <c r="Z40" i="11"/>
  <c r="Y40" i="11"/>
  <c r="AA39" i="11"/>
  <c r="Z39" i="11"/>
  <c r="Y39" i="11"/>
  <c r="AA38" i="11"/>
  <c r="Z38" i="11"/>
  <c r="Y38" i="11"/>
  <c r="AA37" i="11"/>
  <c r="Z37" i="11"/>
  <c r="Z36" i="11" s="1"/>
  <c r="Y37" i="11"/>
  <c r="AA36" i="11"/>
  <c r="Y36" i="11"/>
  <c r="X36" i="11"/>
  <c r="W36" i="11"/>
  <c r="V36" i="11"/>
  <c r="U36" i="11"/>
  <c r="T36" i="11"/>
  <c r="S36" i="11"/>
  <c r="R36" i="11"/>
  <c r="R45" i="11" s="1"/>
  <c r="Q36" i="11"/>
  <c r="P36" i="11"/>
  <c r="O36" i="11"/>
  <c r="N36" i="11"/>
  <c r="M36" i="11"/>
  <c r="L36" i="11"/>
  <c r="K36" i="11"/>
  <c r="J36" i="11"/>
  <c r="J45" i="11" s="1"/>
  <c r="I36" i="11"/>
  <c r="H36" i="11"/>
  <c r="G36" i="11"/>
  <c r="F36" i="11"/>
  <c r="E36" i="11"/>
  <c r="D36" i="11"/>
  <c r="AA34" i="11"/>
  <c r="Z34" i="11"/>
  <c r="Y34" i="11"/>
  <c r="AA33" i="11"/>
  <c r="Z33" i="11"/>
  <c r="Y33" i="11"/>
  <c r="AA32" i="11"/>
  <c r="Z32" i="11"/>
  <c r="Y32" i="11"/>
  <c r="AA31" i="11"/>
  <c r="Z31" i="11"/>
  <c r="Y31" i="11"/>
  <c r="AA30" i="11"/>
  <c r="Z30" i="11"/>
  <c r="Y30" i="11"/>
  <c r="AA29" i="11"/>
  <c r="Z29" i="11"/>
  <c r="Y29" i="11"/>
  <c r="AA28" i="11"/>
  <c r="Z28" i="11"/>
  <c r="Y28" i="11"/>
  <c r="AA27" i="11"/>
  <c r="Z27" i="11"/>
  <c r="Y27" i="11"/>
  <c r="AA26" i="11"/>
  <c r="Z26" i="11"/>
  <c r="Y26" i="11"/>
  <c r="AA25" i="11"/>
  <c r="Z25" i="11"/>
  <c r="Y25" i="11"/>
  <c r="AA24" i="11"/>
  <c r="Z24" i="11"/>
  <c r="Y24" i="11"/>
  <c r="AA23" i="11"/>
  <c r="Z23" i="11"/>
  <c r="Z22" i="11" s="1"/>
  <c r="Y23" i="11"/>
  <c r="AA22" i="11"/>
  <c r="Y22" i="11"/>
  <c r="X22" i="11"/>
  <c r="W22" i="11"/>
  <c r="V22" i="11"/>
  <c r="U22" i="11"/>
  <c r="T22" i="11"/>
  <c r="T45" i="11" s="1"/>
  <c r="S22" i="11"/>
  <c r="R22" i="11"/>
  <c r="Q22" i="11"/>
  <c r="P22" i="11"/>
  <c r="P45" i="11" s="1"/>
  <c r="O22" i="11"/>
  <c r="N22" i="11"/>
  <c r="M22" i="11"/>
  <c r="L22" i="11"/>
  <c r="L45" i="11" s="1"/>
  <c r="K22" i="11"/>
  <c r="J22" i="11"/>
  <c r="I22" i="11"/>
  <c r="H22" i="11"/>
  <c r="H45" i="11" s="1"/>
  <c r="G22" i="11"/>
  <c r="F22" i="11"/>
  <c r="E22" i="11"/>
  <c r="D22" i="11"/>
  <c r="D45" i="11" s="1"/>
  <c r="AA20" i="11"/>
  <c r="Z20" i="11"/>
  <c r="Y20" i="11"/>
  <c r="AA19" i="11"/>
  <c r="Z19" i="11"/>
  <c r="Y19" i="11"/>
  <c r="AA18" i="11"/>
  <c r="Z18" i="11"/>
  <c r="Y18" i="11"/>
  <c r="AA17" i="11"/>
  <c r="Z17" i="11"/>
  <c r="Z16" i="11" s="1"/>
  <c r="Y17" i="11"/>
  <c r="AA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AG75" i="10"/>
  <c r="AF75" i="10"/>
  <c r="AE75" i="10"/>
  <c r="AA75" i="10"/>
  <c r="Z75" i="10"/>
  <c r="Y75" i="10"/>
  <c r="U75" i="10"/>
  <c r="T75" i="10"/>
  <c r="S75" i="10"/>
  <c r="O75" i="10"/>
  <c r="N75" i="10"/>
  <c r="M75" i="10"/>
  <c r="L75" i="10"/>
  <c r="K75" i="10"/>
  <c r="J75" i="10"/>
  <c r="AG73" i="10"/>
  <c r="AF73" i="10"/>
  <c r="AE73" i="10"/>
  <c r="AG72" i="10"/>
  <c r="AF72" i="10"/>
  <c r="AE72" i="10"/>
  <c r="AG71" i="10"/>
  <c r="AF71" i="10"/>
  <c r="AE71" i="10"/>
  <c r="AG70" i="10"/>
  <c r="AF70" i="10"/>
  <c r="AE70" i="10"/>
  <c r="AG69" i="10"/>
  <c r="AF69" i="10"/>
  <c r="AE69" i="10"/>
  <c r="AG68" i="10"/>
  <c r="AF68" i="10"/>
  <c r="AE68" i="10"/>
  <c r="AG67" i="10"/>
  <c r="AF67" i="10"/>
  <c r="AE67" i="10"/>
  <c r="AG66" i="10"/>
  <c r="AF66" i="10"/>
  <c r="AE66" i="10"/>
  <c r="AA66" i="10"/>
  <c r="Z66" i="10"/>
  <c r="Y66" i="10"/>
  <c r="U66" i="10"/>
  <c r="T66" i="10"/>
  <c r="S66" i="10"/>
  <c r="O66" i="10"/>
  <c r="N66" i="10"/>
  <c r="M66" i="10"/>
  <c r="L66" i="10"/>
  <c r="K66" i="10"/>
  <c r="J66" i="10"/>
  <c r="AG64" i="10"/>
  <c r="AF64" i="10"/>
  <c r="AE64" i="10"/>
  <c r="AG63" i="10"/>
  <c r="AF63" i="10"/>
  <c r="AE63" i="10"/>
  <c r="AG62" i="10"/>
  <c r="AF62" i="10"/>
  <c r="AE62" i="10"/>
  <c r="AG61" i="10"/>
  <c r="AF61" i="10"/>
  <c r="AE61" i="10"/>
  <c r="AG60" i="10"/>
  <c r="AF60" i="10"/>
  <c r="AE60" i="10"/>
  <c r="AG59" i="10"/>
  <c r="AF59" i="10"/>
  <c r="AE59" i="10"/>
  <c r="AG58" i="10"/>
  <c r="AF58" i="10"/>
  <c r="AE58" i="10"/>
  <c r="AG57" i="10"/>
  <c r="AF57" i="10"/>
  <c r="AE57" i="10"/>
  <c r="AG56" i="10"/>
  <c r="AF56" i="10"/>
  <c r="AE56" i="10"/>
  <c r="AG55" i="10"/>
  <c r="AF55" i="10"/>
  <c r="AE55" i="10"/>
  <c r="AG54" i="10"/>
  <c r="AF54" i="10"/>
  <c r="AE54" i="10"/>
  <c r="AG53" i="10"/>
  <c r="AF53" i="10"/>
  <c r="AE53" i="10"/>
  <c r="AG52" i="10"/>
  <c r="AF52" i="10"/>
  <c r="AE52" i="10"/>
  <c r="AA52" i="10"/>
  <c r="Z52" i="10"/>
  <c r="Y52" i="10"/>
  <c r="U52" i="10"/>
  <c r="T52" i="10"/>
  <c r="S52" i="10"/>
  <c r="O52" i="10"/>
  <c r="N52" i="10"/>
  <c r="M52" i="10"/>
  <c r="L52" i="10"/>
  <c r="K52" i="10"/>
  <c r="J52" i="10"/>
  <c r="AG50" i="10"/>
  <c r="AF50" i="10"/>
  <c r="AE50" i="10"/>
  <c r="AG49" i="10"/>
  <c r="AF49" i="10"/>
  <c r="AE49" i="10"/>
  <c r="AG48" i="10"/>
  <c r="AF48" i="10"/>
  <c r="AE48" i="10"/>
  <c r="AG47" i="10"/>
  <c r="AF47" i="10"/>
  <c r="AE47" i="10"/>
  <c r="AG46" i="10"/>
  <c r="AF46" i="10"/>
  <c r="AE46" i="10"/>
  <c r="AA46" i="10"/>
  <c r="Z46" i="10"/>
  <c r="Y46" i="10"/>
  <c r="U46" i="10"/>
  <c r="T46" i="10"/>
  <c r="S46" i="10"/>
  <c r="O46" i="10"/>
  <c r="N46" i="10"/>
  <c r="M46" i="10"/>
  <c r="L46" i="10"/>
  <c r="K46" i="10"/>
  <c r="J46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H39" i="10"/>
  <c r="G39" i="10"/>
  <c r="AG37" i="10"/>
  <c r="AF37" i="10"/>
  <c r="AG36" i="10"/>
  <c r="AF36" i="10"/>
  <c r="AG35" i="10"/>
  <c r="AF35" i="10"/>
  <c r="AG34" i="10"/>
  <c r="AF34" i="10"/>
  <c r="AG33" i="10"/>
  <c r="AF33" i="10"/>
  <c r="AG32" i="10"/>
  <c r="AF32" i="10"/>
  <c r="AG31" i="10"/>
  <c r="AF31" i="10"/>
  <c r="AG30" i="10"/>
  <c r="AF30" i="10"/>
  <c r="AG29" i="10"/>
  <c r="AF29" i="10"/>
  <c r="AG28" i="10"/>
  <c r="AF28" i="10"/>
  <c r="AG27" i="10"/>
  <c r="AF27" i="10"/>
  <c r="AG26" i="10"/>
  <c r="AF26" i="10"/>
  <c r="AG25" i="10"/>
  <c r="AF25" i="10"/>
  <c r="AG24" i="10"/>
  <c r="AF24" i="10"/>
  <c r="AG23" i="10"/>
  <c r="AF23" i="10"/>
  <c r="AG22" i="10"/>
  <c r="AF22" i="10"/>
  <c r="AG21" i="10"/>
  <c r="AF21" i="10"/>
  <c r="AG20" i="10"/>
  <c r="AF20" i="10"/>
  <c r="AG19" i="10"/>
  <c r="AF19" i="10"/>
  <c r="AG18" i="10"/>
  <c r="AF18" i="10"/>
  <c r="AG17" i="10"/>
  <c r="AG39" i="10" s="1"/>
  <c r="AF17" i="10"/>
  <c r="AF39" i="10" s="1"/>
  <c r="Q57" i="9"/>
  <c r="U44" i="9"/>
  <c r="T44" i="9"/>
  <c r="U43" i="9"/>
  <c r="T43" i="9"/>
  <c r="U42" i="9"/>
  <c r="T42" i="9"/>
  <c r="U41" i="9"/>
  <c r="T41" i="9"/>
  <c r="U40" i="9"/>
  <c r="T40" i="9"/>
  <c r="U39" i="9"/>
  <c r="T39" i="9"/>
  <c r="U38" i="9"/>
  <c r="T38" i="9"/>
  <c r="U37" i="9"/>
  <c r="T37" i="9"/>
  <c r="U36" i="9"/>
  <c r="T36" i="9"/>
  <c r="U35" i="9"/>
  <c r="T35" i="9"/>
  <c r="U34" i="9"/>
  <c r="T34" i="9"/>
  <c r="U33" i="9"/>
  <c r="T33" i="9"/>
  <c r="U32" i="9"/>
  <c r="T32" i="9"/>
  <c r="U31" i="9"/>
  <c r="T31" i="9"/>
  <c r="U30" i="9"/>
  <c r="T30" i="9"/>
  <c r="U29" i="9"/>
  <c r="T29" i="9"/>
  <c r="U28" i="9"/>
  <c r="T28" i="9"/>
  <c r="U27" i="9"/>
  <c r="T27" i="9"/>
  <c r="U26" i="9"/>
  <c r="T26" i="9"/>
  <c r="U25" i="9"/>
  <c r="T25" i="9"/>
  <c r="U24" i="9"/>
  <c r="T24" i="9"/>
  <c r="U23" i="9"/>
  <c r="T23" i="9"/>
  <c r="U22" i="9"/>
  <c r="T22" i="9"/>
  <c r="U21" i="9"/>
  <c r="T21" i="9"/>
  <c r="U20" i="9"/>
  <c r="T20" i="9"/>
  <c r="U19" i="9"/>
  <c r="T19" i="9"/>
  <c r="U18" i="9"/>
  <c r="T18" i="9"/>
  <c r="U17" i="9"/>
  <c r="T17" i="9"/>
  <c r="Q50" i="4"/>
  <c r="R39" i="4"/>
  <c r="Q39" i="4"/>
  <c r="P39" i="4"/>
  <c r="N39" i="4"/>
  <c r="M39" i="4"/>
  <c r="L39" i="4"/>
  <c r="L40" i="4" s="1"/>
  <c r="J39" i="4"/>
  <c r="I39" i="4"/>
  <c r="H39" i="4"/>
  <c r="H40" i="4" s="1"/>
  <c r="U38" i="4"/>
  <c r="T38" i="4"/>
  <c r="U37" i="4"/>
  <c r="T37" i="4"/>
  <c r="U36" i="4"/>
  <c r="T36" i="4"/>
  <c r="U35" i="4"/>
  <c r="T35" i="4"/>
  <c r="U34" i="4"/>
  <c r="T34" i="4"/>
  <c r="U33" i="4"/>
  <c r="T33" i="4"/>
  <c r="U32" i="4"/>
  <c r="T32" i="4"/>
  <c r="U31" i="4"/>
  <c r="T31" i="4"/>
  <c r="U30" i="4"/>
  <c r="T30" i="4"/>
  <c r="U29" i="4"/>
  <c r="T29" i="4"/>
  <c r="U28" i="4"/>
  <c r="T28" i="4"/>
  <c r="U27" i="4"/>
  <c r="T27" i="4"/>
  <c r="U26" i="4"/>
  <c r="T26" i="4"/>
  <c r="U25" i="4"/>
  <c r="T25" i="4"/>
  <c r="U24" i="4"/>
  <c r="T24" i="4"/>
  <c r="U23" i="4"/>
  <c r="T23" i="4"/>
  <c r="U22" i="4"/>
  <c r="T22" i="4"/>
  <c r="U21" i="4"/>
  <c r="T21" i="4"/>
  <c r="U20" i="4"/>
  <c r="T20" i="4"/>
  <c r="U19" i="4"/>
  <c r="T19" i="4"/>
  <c r="U18" i="4"/>
  <c r="T18" i="4"/>
  <c r="U17" i="4"/>
  <c r="T17" i="4"/>
  <c r="V73" i="3"/>
  <c r="U73" i="3"/>
  <c r="T73" i="3"/>
  <c r="V72" i="3"/>
  <c r="U72" i="3"/>
  <c r="T72" i="3"/>
  <c r="V71" i="3"/>
  <c r="U71" i="3"/>
  <c r="T71" i="3"/>
  <c r="V70" i="3"/>
  <c r="U70" i="3"/>
  <c r="T70" i="3"/>
  <c r="V69" i="3"/>
  <c r="U69" i="3"/>
  <c r="T69" i="3"/>
  <c r="V68" i="3"/>
  <c r="U68" i="3"/>
  <c r="T68" i="3"/>
  <c r="V67" i="3"/>
  <c r="V66" i="3" s="1"/>
  <c r="U67" i="3"/>
  <c r="T67" i="3"/>
  <c r="T66" i="3" s="1"/>
  <c r="R66" i="3"/>
  <c r="Q66" i="3"/>
  <c r="P66" i="3"/>
  <c r="N66" i="3"/>
  <c r="M66" i="3"/>
  <c r="L66" i="3"/>
  <c r="I66" i="3"/>
  <c r="H66" i="3"/>
  <c r="F66" i="3"/>
  <c r="E66" i="3"/>
  <c r="D66" i="3"/>
  <c r="V64" i="3"/>
  <c r="U64" i="3"/>
  <c r="T64" i="3"/>
  <c r="V63" i="3"/>
  <c r="U63" i="3"/>
  <c r="T63" i="3"/>
  <c r="V62" i="3"/>
  <c r="U62" i="3"/>
  <c r="T62" i="3"/>
  <c r="V61" i="3"/>
  <c r="U61" i="3"/>
  <c r="T61" i="3"/>
  <c r="V60" i="3"/>
  <c r="U60" i="3"/>
  <c r="T60" i="3"/>
  <c r="V59" i="3"/>
  <c r="U59" i="3"/>
  <c r="T59" i="3"/>
  <c r="V58" i="3"/>
  <c r="U58" i="3"/>
  <c r="T58" i="3"/>
  <c r="V57" i="3"/>
  <c r="U57" i="3"/>
  <c r="T57" i="3"/>
  <c r="V56" i="3"/>
  <c r="U56" i="3"/>
  <c r="T56" i="3"/>
  <c r="V55" i="3"/>
  <c r="U55" i="3"/>
  <c r="T55" i="3"/>
  <c r="V54" i="3"/>
  <c r="U54" i="3"/>
  <c r="T54" i="3"/>
  <c r="V53" i="3"/>
  <c r="V52" i="3" s="1"/>
  <c r="U53" i="3"/>
  <c r="T53" i="3"/>
  <c r="T52" i="3"/>
  <c r="R52" i="3"/>
  <c r="Q52" i="3"/>
  <c r="P52" i="3"/>
  <c r="N52" i="3"/>
  <c r="M52" i="3"/>
  <c r="L52" i="3"/>
  <c r="I52" i="3"/>
  <c r="H52" i="3"/>
  <c r="F52" i="3"/>
  <c r="E52" i="3"/>
  <c r="D52" i="3"/>
  <c r="V50" i="3"/>
  <c r="U50" i="3"/>
  <c r="T50" i="3"/>
  <c r="V49" i="3"/>
  <c r="U49" i="3"/>
  <c r="T49" i="3"/>
  <c r="V48" i="3"/>
  <c r="U48" i="3"/>
  <c r="T48" i="3"/>
  <c r="V47" i="3"/>
  <c r="V46" i="3" s="1"/>
  <c r="U47" i="3"/>
  <c r="T47" i="3"/>
  <c r="R46" i="3"/>
  <c r="Q46" i="3"/>
  <c r="P46" i="3"/>
  <c r="N46" i="3"/>
  <c r="M46" i="3"/>
  <c r="L46" i="3"/>
  <c r="I46" i="3"/>
  <c r="H46" i="3"/>
  <c r="F46" i="3"/>
  <c r="E46" i="3"/>
  <c r="D46" i="3"/>
  <c r="Y39" i="3"/>
  <c r="R39" i="3"/>
  <c r="Q39" i="3"/>
  <c r="P39" i="3"/>
  <c r="N39" i="3"/>
  <c r="M39" i="3"/>
  <c r="L39" i="3"/>
  <c r="I39" i="3"/>
  <c r="H39" i="3"/>
  <c r="G39" i="3"/>
  <c r="F39" i="3"/>
  <c r="E39" i="3"/>
  <c r="E40" i="3" s="1"/>
  <c r="D39" i="3"/>
  <c r="T38" i="3"/>
  <c r="U37" i="3"/>
  <c r="T37" i="3"/>
  <c r="U36" i="3"/>
  <c r="T36" i="3"/>
  <c r="U35" i="3"/>
  <c r="T35" i="3"/>
  <c r="U34" i="3"/>
  <c r="T34" i="3"/>
  <c r="AC33" i="3"/>
  <c r="U33" i="3"/>
  <c r="T33" i="3"/>
  <c r="AE32" i="3"/>
  <c r="U32" i="3"/>
  <c r="T32" i="3"/>
  <c r="U31" i="3"/>
  <c r="T31" i="3"/>
  <c r="U28" i="3"/>
  <c r="T28" i="3"/>
  <c r="U27" i="3"/>
  <c r="T27" i="3"/>
  <c r="U26" i="3"/>
  <c r="T26" i="3"/>
  <c r="U25" i="3"/>
  <c r="T25" i="3"/>
  <c r="U24" i="3"/>
  <c r="T24" i="3"/>
  <c r="U23" i="3"/>
  <c r="T23" i="3"/>
  <c r="U22" i="3"/>
  <c r="T22" i="3"/>
  <c r="U21" i="3"/>
  <c r="T21" i="3"/>
  <c r="U20" i="3"/>
  <c r="T20" i="3"/>
  <c r="U19" i="3"/>
  <c r="T19" i="3"/>
  <c r="U18" i="3"/>
  <c r="T18" i="3"/>
  <c r="U17" i="3"/>
  <c r="T17" i="3"/>
  <c r="V49" i="7"/>
  <c r="V45" i="7"/>
  <c r="U45" i="7"/>
  <c r="T45" i="7"/>
  <c r="V44" i="7"/>
  <c r="U44" i="7"/>
  <c r="T44" i="7"/>
  <c r="V43" i="7"/>
  <c r="U43" i="7"/>
  <c r="T43" i="7"/>
  <c r="Z42" i="7"/>
  <c r="V42" i="7"/>
  <c r="U42" i="7"/>
  <c r="T42" i="7"/>
  <c r="V41" i="7"/>
  <c r="U41" i="7"/>
  <c r="T41" i="7"/>
  <c r="V40" i="7"/>
  <c r="U40" i="7"/>
  <c r="T40" i="7"/>
  <c r="V39" i="7"/>
  <c r="U39" i="7"/>
  <c r="T39" i="7"/>
  <c r="V38" i="7"/>
  <c r="U38" i="7"/>
  <c r="T38" i="7"/>
  <c r="U37" i="7"/>
  <c r="R37" i="7"/>
  <c r="Q37" i="7"/>
  <c r="P37" i="7"/>
  <c r="N37" i="7"/>
  <c r="M37" i="7"/>
  <c r="L37" i="7"/>
  <c r="J37" i="7"/>
  <c r="I37" i="7"/>
  <c r="H37" i="7"/>
  <c r="G37" i="7"/>
  <c r="F37" i="7"/>
  <c r="E37" i="7"/>
  <c r="D37" i="7"/>
  <c r="V35" i="7"/>
  <c r="U35" i="7"/>
  <c r="T35" i="7"/>
  <c r="V34" i="7"/>
  <c r="U34" i="7"/>
  <c r="T34" i="7"/>
  <c r="V33" i="7"/>
  <c r="U33" i="7"/>
  <c r="T33" i="7"/>
  <c r="V32" i="7"/>
  <c r="U32" i="7"/>
  <c r="T32" i="7"/>
  <c r="V31" i="7"/>
  <c r="T31" i="7"/>
  <c r="V30" i="7"/>
  <c r="U30" i="7"/>
  <c r="T30" i="7"/>
  <c r="V29" i="7"/>
  <c r="U29" i="7"/>
  <c r="T29" i="7"/>
  <c r="V28" i="7"/>
  <c r="U28" i="7"/>
  <c r="T28" i="7"/>
  <c r="V27" i="7"/>
  <c r="U27" i="7"/>
  <c r="T27" i="7"/>
  <c r="V26" i="7"/>
  <c r="U26" i="7"/>
  <c r="T26" i="7"/>
  <c r="V25" i="7"/>
  <c r="U25" i="7"/>
  <c r="T25" i="7"/>
  <c r="V24" i="7"/>
  <c r="U24" i="7"/>
  <c r="T24" i="7"/>
  <c r="V23" i="7"/>
  <c r="U23" i="7"/>
  <c r="U22" i="7" s="1"/>
  <c r="T23" i="7"/>
  <c r="V22" i="7"/>
  <c r="T22" i="7"/>
  <c r="R22" i="7"/>
  <c r="Q22" i="7"/>
  <c r="P22" i="7"/>
  <c r="N22" i="7"/>
  <c r="M22" i="7"/>
  <c r="L22" i="7"/>
  <c r="J22" i="7"/>
  <c r="I22" i="7"/>
  <c r="H22" i="7"/>
  <c r="G22" i="7"/>
  <c r="F22" i="7"/>
  <c r="E22" i="7"/>
  <c r="D22" i="7"/>
  <c r="V20" i="7"/>
  <c r="U20" i="7"/>
  <c r="T20" i="7"/>
  <c r="V19" i="7"/>
  <c r="U19" i="7"/>
  <c r="T19" i="7"/>
  <c r="V18" i="7"/>
  <c r="U18" i="7"/>
  <c r="T18" i="7"/>
  <c r="V17" i="7"/>
  <c r="V16" i="7" s="1"/>
  <c r="U17" i="7"/>
  <c r="T17" i="7"/>
  <c r="T16" i="7" s="1"/>
  <c r="R16" i="7"/>
  <c r="Q16" i="7"/>
  <c r="P16" i="7"/>
  <c r="N16" i="7"/>
  <c r="M16" i="7"/>
  <c r="L16" i="7"/>
  <c r="J16" i="7"/>
  <c r="I16" i="7"/>
  <c r="H16" i="7"/>
  <c r="G16" i="7"/>
  <c r="F16" i="7"/>
  <c r="E16" i="7"/>
  <c r="D16" i="7"/>
  <c r="E28" i="2"/>
  <c r="E27" i="2"/>
  <c r="I26" i="2"/>
  <c r="E26" i="2"/>
  <c r="E18" i="2"/>
  <c r="G17" i="2"/>
  <c r="I8" i="2"/>
  <c r="E8" i="2"/>
  <c r="I7" i="2"/>
  <c r="I6" i="2"/>
  <c r="G42" i="1"/>
  <c r="F42" i="1"/>
  <c r="E42" i="1"/>
  <c r="G41" i="1"/>
  <c r="F41" i="1"/>
  <c r="G40" i="1"/>
  <c r="F40" i="1"/>
  <c r="G39" i="1"/>
  <c r="F39" i="1"/>
  <c r="I38" i="1"/>
  <c r="G38" i="1"/>
  <c r="F38" i="1"/>
  <c r="K32" i="1"/>
  <c r="G27" i="1"/>
  <c r="F27" i="1"/>
  <c r="E27" i="1"/>
  <c r="G26" i="1"/>
  <c r="G25" i="1"/>
  <c r="G24" i="1"/>
  <c r="G23" i="1"/>
  <c r="G13" i="1"/>
  <c r="F13" i="1"/>
  <c r="E13" i="1"/>
  <c r="G12" i="1"/>
  <c r="G11" i="1"/>
  <c r="G10" i="1"/>
  <c r="G9" i="1"/>
  <c r="AA45" i="11" l="1"/>
  <c r="Z45" i="11"/>
  <c r="E45" i="11"/>
  <c r="G45" i="11"/>
  <c r="I45" i="11"/>
  <c r="K45" i="11"/>
  <c r="M45" i="11"/>
  <c r="O45" i="11"/>
  <c r="Q45" i="11"/>
  <c r="S45" i="11"/>
  <c r="U45" i="11"/>
  <c r="W45" i="11"/>
  <c r="Y45" i="11"/>
  <c r="Y49" i="11"/>
  <c r="AB45" i="11"/>
  <c r="AE39" i="10"/>
  <c r="AK34" i="10"/>
  <c r="V22" i="15"/>
  <c r="T22" i="15"/>
  <c r="T37" i="15"/>
  <c r="D46" i="15"/>
  <c r="F46" i="15"/>
  <c r="E46" i="15"/>
  <c r="G46" i="15"/>
  <c r="U46" i="15"/>
  <c r="V39" i="4"/>
  <c r="W39" i="4"/>
  <c r="V46" i="15"/>
  <c r="W37" i="15"/>
  <c r="W46" i="15" s="1"/>
  <c r="U39" i="4"/>
  <c r="T39" i="4"/>
  <c r="T40" i="4" s="1"/>
  <c r="U16" i="7"/>
  <c r="E46" i="7"/>
  <c r="G46" i="7"/>
  <c r="I46" i="7"/>
  <c r="L46" i="7"/>
  <c r="N46" i="7"/>
  <c r="D46" i="7"/>
  <c r="F46" i="7"/>
  <c r="H46" i="7"/>
  <c r="J46" i="7"/>
  <c r="M46" i="7"/>
  <c r="P46" i="7"/>
  <c r="R46" i="7"/>
  <c r="T37" i="7"/>
  <c r="T46" i="7" s="1"/>
  <c r="T49" i="7" s="1"/>
  <c r="V37" i="7"/>
  <c r="Q46" i="7"/>
  <c r="U46" i="7"/>
  <c r="X46" i="7"/>
  <c r="T46" i="3"/>
  <c r="U52" i="3"/>
  <c r="U46" i="3"/>
  <c r="D75" i="3"/>
  <c r="F75" i="3"/>
  <c r="U66" i="3"/>
  <c r="U75" i="3" s="1"/>
  <c r="T39" i="3"/>
  <c r="E75" i="3"/>
  <c r="H75" i="3"/>
  <c r="M75" i="3"/>
  <c r="P75" i="3"/>
  <c r="R75" i="3"/>
  <c r="U39" i="3"/>
  <c r="I75" i="3"/>
  <c r="L75" i="3"/>
  <c r="N75" i="3"/>
  <c r="Q75" i="3"/>
  <c r="T75" i="3"/>
  <c r="V75" i="3"/>
  <c r="T46" i="15" l="1"/>
  <c r="T49" i="15" s="1"/>
  <c r="T42" i="4"/>
  <c r="T43" i="4" s="1"/>
  <c r="T44" i="4" s="1"/>
  <c r="AG35" i="4"/>
  <c r="T45" i="4"/>
  <c r="T46" i="4" s="1"/>
</calcChain>
</file>

<file path=xl/comments1.xml><?xml version="1.0" encoding="utf-8"?>
<comments xmlns="http://schemas.openxmlformats.org/spreadsheetml/2006/main">
  <authors>
    <author>Acer</author>
  </authors>
  <commentList>
    <comment ref="C45" authorId="0">
      <text>
        <r>
          <rPr>
            <b/>
            <sz val="9"/>
            <color indexed="81"/>
            <rFont val="Tahoma"/>
            <charset val="1"/>
          </rPr>
          <t>Acer:</t>
        </r>
        <r>
          <rPr>
            <sz val="9"/>
            <color indexed="81"/>
            <rFont val="Tahoma"/>
            <charset val="1"/>
          </rPr>
          <t xml:space="preserve">
New tw1 2024</t>
        </r>
      </text>
    </comment>
  </commentList>
</comments>
</file>

<file path=xl/sharedStrings.xml><?xml version="1.0" encoding="utf-8"?>
<sst xmlns="http://schemas.openxmlformats.org/spreadsheetml/2006/main" count="870" uniqueCount="191">
  <si>
    <t>TAHUN 2022</t>
  </si>
  <si>
    <t>PMDN</t>
  </si>
  <si>
    <t>No</t>
  </si>
  <si>
    <t>Triwulan</t>
  </si>
  <si>
    <t>Satuan</t>
  </si>
  <si>
    <t>target</t>
  </si>
  <si>
    <t>Nilai/ Realisasi</t>
  </si>
  <si>
    <t>%</t>
  </si>
  <si>
    <t>Triwulan 1</t>
  </si>
  <si>
    <t>Rp. Juta</t>
  </si>
  <si>
    <t>Triwulan 2</t>
  </si>
  <si>
    <t>Triwulan 3</t>
  </si>
  <si>
    <t>Triwulan 4</t>
  </si>
  <si>
    <t>Jumlah</t>
  </si>
  <si>
    <t>PMA</t>
  </si>
  <si>
    <t>US $ Ribu</t>
  </si>
  <si>
    <t xml:space="preserve">Keterangan:  Nilai kurs 1 US $ = Rp. 14.400,- ketika target ditetapkan. </t>
  </si>
  <si>
    <t xml:space="preserve">                      Nilai kurs 1 US $ = Rp. 15000,- (APBN Tahun 2024)</t>
  </si>
  <si>
    <t>Renstra  awal 2021-2026</t>
  </si>
  <si>
    <t>PMDN + PMA</t>
  </si>
  <si>
    <t>1. PMDN</t>
  </si>
  <si>
    <t>Uraian</t>
  </si>
  <si>
    <t>Nilai</t>
  </si>
  <si>
    <t>target 2022</t>
  </si>
  <si>
    <t>Target tahun 2024</t>
  </si>
  <si>
    <t>pmdn</t>
  </si>
  <si>
    <t>Realisasi</t>
  </si>
  <si>
    <t>pma</t>
  </si>
  <si>
    <t>Persentase capaian realisasi</t>
  </si>
  <si>
    <t>2. PMA</t>
  </si>
  <si>
    <t>3. GABUNGAN PMDN + PMA</t>
  </si>
  <si>
    <t>Target</t>
  </si>
  <si>
    <t xml:space="preserve">                      Nilai kurs 1 US $ = Rp. 14.350,- (APBN Tahun 2022)</t>
  </si>
  <si>
    <t>PEMERITAH PROVINSI SUMATERA BARAT</t>
  </si>
  <si>
    <t>DINAS PENANAMAN MODAL DAN PELAYANAN TERPADU SATU PINTU</t>
  </si>
  <si>
    <t xml:space="preserve">REKAPITULASI REALISASI INVESTASI PMDN PER SEKTOR/BIDANG USAHA </t>
  </si>
  <si>
    <t>TAHUN 2024</t>
  </si>
  <si>
    <t>No.</t>
  </si>
  <si>
    <t>Sektor / Bidang Usaha</t>
  </si>
  <si>
    <t>TRIWULAN 1</t>
  </si>
  <si>
    <t>TRIWULAN 2</t>
  </si>
  <si>
    <t>TRIWULAN 3</t>
  </si>
  <si>
    <t>TRIWULAN 4</t>
  </si>
  <si>
    <t>TOTAL</t>
  </si>
  <si>
    <t>Investasi</t>
  </si>
  <si>
    <t>Tenaga Kerja</t>
  </si>
  <si>
    <t>Proyek</t>
  </si>
  <si>
    <t>( Rp. Juta )</t>
  </si>
  <si>
    <t>Indonesia</t>
  </si>
  <si>
    <t>Asing</t>
  </si>
  <si>
    <t>I.</t>
  </si>
  <si>
    <t>SEKTOR PRIMER</t>
  </si>
  <si>
    <t>Tanaman Pangan dan Perkebunan dan Peternakan</t>
  </si>
  <si>
    <t>Kehutanan</t>
  </si>
  <si>
    <t>Perikanan</t>
  </si>
  <si>
    <t>Pertambangan</t>
  </si>
  <si>
    <t>II.</t>
  </si>
  <si>
    <t>SEKTOR SEKUNDER</t>
  </si>
  <si>
    <t>Industri makan</t>
  </si>
  <si>
    <t>Industri tekstil</t>
  </si>
  <si>
    <t>Industri barang dari kulit dan alas kaki</t>
  </si>
  <si>
    <t>Industri kayu</t>
  </si>
  <si>
    <t>Industri kertas dan percetakan</t>
  </si>
  <si>
    <t>Industri kimia dan farmasi</t>
  </si>
  <si>
    <t>Industri karet dan plastik</t>
  </si>
  <si>
    <t>Industri mineral non logam</t>
  </si>
  <si>
    <t>Industri Logam Dasar,Barang Logam, Bukan Mesin dan Peralatannya</t>
  </si>
  <si>
    <t>Industri logam, mesin dan elektronika</t>
  </si>
  <si>
    <t>Industri instrumen kedokteran, presisi, optik dan jam</t>
  </si>
  <si>
    <t>Industri kendaraan bermotor dan alat transportasi lainnya</t>
  </si>
  <si>
    <t>Industri lainnya</t>
  </si>
  <si>
    <t>III.</t>
  </si>
  <si>
    <t>SEKTOR TERSIER</t>
  </si>
  <si>
    <t>Listrik, gas, dan air</t>
  </si>
  <si>
    <t>Konstruksi</t>
  </si>
  <si>
    <t>Perdagangan dan reparasi</t>
  </si>
  <si>
    <t>Hotel dan restoran</t>
  </si>
  <si>
    <t>Transportasi, gudang dan komunikasi</t>
  </si>
  <si>
    <t>Perumahan, kawasan industri dan perkantoran</t>
  </si>
  <si>
    <t>Jasa lainnya</t>
  </si>
  <si>
    <t>J u m l a h</t>
  </si>
  <si>
    <t xml:space="preserve">REKAPITULASI REALISASI INVESTASI PMDN PER LOKASI </t>
  </si>
  <si>
    <t>NO</t>
  </si>
  <si>
    <t>LOKASI</t>
  </si>
  <si>
    <t>Nilai Investasi                    (Rp. Juta)</t>
  </si>
  <si>
    <r>
      <rPr>
        <b/>
        <sz val="11"/>
        <color rgb="FF000000"/>
        <rFont val="Arial"/>
        <charset val="134"/>
      </rPr>
      <t>I</t>
    </r>
    <r>
      <rPr>
        <b/>
        <sz val="11"/>
        <color rgb="FF000000"/>
        <rFont val="Arial"/>
        <charset val="134"/>
      </rPr>
      <t>ndonesia</t>
    </r>
  </si>
  <si>
    <t>KABUPATEN</t>
  </si>
  <si>
    <t>KEP. MENTAWAI</t>
  </si>
  <si>
    <t>PESISIR SELATAN</t>
  </si>
  <si>
    <t>SOLOK</t>
  </si>
  <si>
    <t>SIJUNJUNG</t>
  </si>
  <si>
    <t>TANAH DATAR</t>
  </si>
  <si>
    <t>PADANG PARIAMAN</t>
  </si>
  <si>
    <t>AGAM</t>
  </si>
  <si>
    <t>LIMA PULUH KOTA</t>
  </si>
  <si>
    <t>PASAMAN</t>
  </si>
  <si>
    <t>ASAL INVESTASI</t>
  </si>
  <si>
    <t>TARGET</t>
  </si>
  <si>
    <t>SOLOK SELATAN</t>
  </si>
  <si>
    <t>PMDN TW 1</t>
  </si>
  <si>
    <t>DALAM RP JUTA</t>
  </si>
  <si>
    <t>DHARMASRAYA</t>
  </si>
  <si>
    <t>PASAMAN BARAT</t>
  </si>
  <si>
    <t>PMA TW 1</t>
  </si>
  <si>
    <t>US$ RIBU</t>
  </si>
  <si>
    <t>KOTA</t>
  </si>
  <si>
    <t>PADANG</t>
  </si>
  <si>
    <t>SAWAHLUNTO</t>
  </si>
  <si>
    <t>BUKITTINGGI</t>
  </si>
  <si>
    <t>PADANG PANJANG</t>
  </si>
  <si>
    <t>PAYAKUMBUH</t>
  </si>
  <si>
    <t>PARIAMAN</t>
  </si>
  <si>
    <t>JUMLAH</t>
  </si>
  <si>
    <r>
      <rPr>
        <b/>
        <sz val="14"/>
        <color theme="1"/>
        <rFont val="Footlight MT Light"/>
        <charset val="134"/>
      </rPr>
      <t>REKAPITULASI REALISASI INVESTASI</t>
    </r>
    <r>
      <rPr>
        <b/>
        <sz val="14"/>
        <color rgb="FFFF0000"/>
        <rFont val="Footlight MT Light"/>
        <charset val="134"/>
      </rPr>
      <t xml:space="preserve"> PMA</t>
    </r>
    <r>
      <rPr>
        <b/>
        <sz val="14"/>
        <color theme="1"/>
        <rFont val="Footlight MT Light"/>
        <charset val="134"/>
      </rPr>
      <t xml:space="preserve"> PER LOKASI</t>
    </r>
  </si>
  <si>
    <t>Nilai Investasi                    (US$ Ribu)</t>
  </si>
  <si>
    <t>Nilai Investasi                    (US$ ribu)</t>
  </si>
  <si>
    <t>RUPIAH</t>
  </si>
  <si>
    <t>KURS 14350</t>
  </si>
  <si>
    <t>REKAPITULASI REALISASI INVESTASI PMA PER ASAL NEGARA</t>
  </si>
  <si>
    <t>Nilai Investasi                    (US$ Juta)</t>
  </si>
  <si>
    <r>
      <rPr>
        <sz val="11"/>
        <color rgb="FF000000"/>
        <rFont val="Arial"/>
        <charset val="134"/>
      </rPr>
      <t>S</t>
    </r>
    <r>
      <rPr>
        <sz val="11"/>
        <color theme="1"/>
        <rFont val="Arial"/>
        <charset val="134"/>
      </rPr>
      <t>ingapura</t>
    </r>
  </si>
  <si>
    <t>Belanda</t>
  </si>
  <si>
    <t>Malaysia</t>
  </si>
  <si>
    <t>Hongkong, RRT</t>
  </si>
  <si>
    <t>Jerman</t>
  </si>
  <si>
    <t>R.R Tiongkok</t>
  </si>
  <si>
    <t>Australia</t>
  </si>
  <si>
    <t>Belgia</t>
  </si>
  <si>
    <t>India</t>
  </si>
  <si>
    <t>Brasil</t>
  </si>
  <si>
    <t>British Virgin Islands</t>
  </si>
  <si>
    <t>Perancis</t>
  </si>
  <si>
    <t>Inggris</t>
  </si>
  <si>
    <t>Afrika Selatan</t>
  </si>
  <si>
    <t>Korea Selatan</t>
  </si>
  <si>
    <t>Spanyol</t>
  </si>
  <si>
    <t>Amerika Serikat</t>
  </si>
  <si>
    <t>Selandia Baru</t>
  </si>
  <si>
    <t>Namibia</t>
  </si>
  <si>
    <t>Mauritius</t>
  </si>
  <si>
    <t>Irlandia</t>
  </si>
  <si>
    <t>Panama</t>
  </si>
  <si>
    <t>Swedia</t>
  </si>
  <si>
    <t>Rusia</t>
  </si>
  <si>
    <t>Kanada</t>
  </si>
  <si>
    <t>Ukraina</t>
  </si>
  <si>
    <t>Seychelles</t>
  </si>
  <si>
    <t>CAYMAN ISLAND</t>
  </si>
  <si>
    <t xml:space="preserve">REKAPITULASI REALISASI INVESTASI PMDN DAN PMA PER LOKASI </t>
  </si>
  <si>
    <t>Nilai Investasi PMA                   (Rp. Juta)</t>
  </si>
  <si>
    <t>Nilai Investasi PMDN                    (Rp. Juta)</t>
  </si>
  <si>
    <t>Nilai Investasi PMA (Rp. Juta)</t>
  </si>
  <si>
    <t>Nilai Investasi                    PMA (Rp. Juta)</t>
  </si>
  <si>
    <t>Nilai Investasi                    PMDN (Rp. Juta)</t>
  </si>
  <si>
    <t xml:space="preserve">REKAPITULASI REALISASI INVESTASI PMA &amp; PMDN PER SEKTOR/BIDANG USAHA </t>
  </si>
  <si>
    <t>Investasi PMA                ( Rp. Juta )</t>
  </si>
  <si>
    <t>Investasi PMDN                ( Rp. Juta )</t>
  </si>
  <si>
    <t>Investasi (PMA)</t>
  </si>
  <si>
    <t>PERINGKAT</t>
  </si>
  <si>
    <t>REKAPITULASI REALISASI INVESTASI PMDN DAN PMA PER LOKASI &amp; PER PROYEK</t>
  </si>
  <si>
    <t>REALISASI PMA DAN PMDN PER LOKASI TAHUN 2022</t>
  </si>
  <si>
    <t>TRIWULAN 2
TRIWULAN 3
TRIWULAN 4</t>
  </si>
  <si>
    <t>TRIWULAN 3
TRIWULAN 3
TRIWULAN 5</t>
  </si>
  <si>
    <t>TRIWULAN 4
TRIWULAN 3
TRIWULAN 5</t>
  </si>
  <si>
    <t>Jumlah Proyek PMA</t>
  </si>
  <si>
    <t>Jumlah Proyek</t>
  </si>
  <si>
    <t>Nilai Investasi PMA                    (Rp. Juta)</t>
  </si>
  <si>
    <t>Nilai Investasi PMDN                   (Rp. Juta)</t>
  </si>
  <si>
    <t>Nilai Investasi  PMA dan PMDN                  (Rp. Juta)</t>
  </si>
  <si>
    <t>Jumlah ProyekPMA dan PMDN</t>
  </si>
  <si>
    <t>Jumlah Proyek PMA TAHUN 2022</t>
  </si>
  <si>
    <t>Jumlah Proyek PMDN</t>
  </si>
  <si>
    <t>Jumlah Realisasi PMDN TW 1 s/d 4 (Rp.Juta)</t>
  </si>
  <si>
    <t>Jumlah Realisasi PMA TW 1 s/d 4 (Rp.Juta)</t>
  </si>
  <si>
    <t>Tenaga Kerja PMDN</t>
  </si>
  <si>
    <t>Tenaga Kerja PMA</t>
  </si>
  <si>
    <t>jumlah asing</t>
  </si>
  <si>
    <t>Padang, 31  Januari 2023</t>
  </si>
  <si>
    <t>Maineliza</t>
  </si>
  <si>
    <t xml:space="preserve">REKAPITULASI REALISASI INVESTASI PMA PER SEKTOR/BIDANG USAHA </t>
  </si>
  <si>
    <t>Rp</t>
  </si>
  <si>
    <t>Hungaria</t>
  </si>
  <si>
    <t>Italia</t>
  </si>
  <si>
    <t>Jepang</t>
  </si>
  <si>
    <t>Luxembourg</t>
  </si>
  <si>
    <t>Peru</t>
  </si>
  <si>
    <t>Samoa Barat</t>
  </si>
  <si>
    <t>Sloveia</t>
  </si>
  <si>
    <t>Uraguay</t>
  </si>
  <si>
    <t>Nilai Investasi PMA + PMDN                   (Rp. Juta)</t>
  </si>
  <si>
    <t xml:space="preserve">Tenaga Kerja PMA +PMDN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</si>
</sst>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00_);_(* \(#,##0.000\);_(* &quot;-&quot;??_);_(@_)"/>
    <numFmt numFmtId="167" formatCode="_(* #,##0_);_(* \(#,##0\);_(* &quot;-&quot;??_);_(@_)"/>
    <numFmt numFmtId="168" formatCode="0.00_ "/>
    <numFmt numFmtId="169" formatCode="0.0"/>
    <numFmt numFmtId="170" formatCode="#,##0.0"/>
    <numFmt numFmtId="171" formatCode="#,##0.000000000000"/>
    <numFmt numFmtId="172" formatCode="_(* #,##0.00_);_(* \(#,##0.00\);_(* &quot;-&quot;_);_(@_)"/>
  </numFmts>
  <fonts count="19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theme="1"/>
      <name val="Footlight MT Light"/>
      <charset val="134"/>
    </font>
    <font>
      <b/>
      <sz val="14"/>
      <color theme="1"/>
      <name val="Footlight MT Light"/>
      <charset val="134"/>
    </font>
    <font>
      <b/>
      <sz val="12"/>
      <color theme="1"/>
      <name val="Calibri"/>
      <charset val="134"/>
      <scheme val="minor"/>
    </font>
    <font>
      <b/>
      <sz val="11"/>
      <color rgb="FF000000"/>
      <name val="Arial"/>
      <charset val="134"/>
    </font>
    <font>
      <sz val="11"/>
      <color theme="0"/>
      <name val="Calibri"/>
      <charset val="134"/>
      <scheme val="minor"/>
    </font>
    <font>
      <sz val="11"/>
      <color rgb="FF000000"/>
      <name val="Arial"/>
      <charset val="134"/>
    </font>
    <font>
      <sz val="11"/>
      <name val="Arial"/>
      <charset val="134"/>
    </font>
    <font>
      <b/>
      <sz val="12"/>
      <color rgb="FF000000"/>
      <name val="Arial"/>
      <charset val="134"/>
    </font>
    <font>
      <b/>
      <sz val="11"/>
      <color theme="1"/>
      <name val="Calibri"/>
      <charset val="134"/>
      <scheme val="minor"/>
    </font>
    <font>
      <b/>
      <sz val="11"/>
      <color theme="1"/>
      <name val="Arial"/>
      <charset val="134"/>
    </font>
    <font>
      <sz val="11"/>
      <color theme="1"/>
      <name val="Arial"/>
      <charset val="134"/>
    </font>
    <font>
      <sz val="14"/>
      <color theme="1"/>
      <name val="Calibri"/>
      <charset val="134"/>
      <scheme val="minor"/>
    </font>
    <font>
      <sz val="11"/>
      <color rgb="FFFF0000"/>
      <name val="Arial"/>
      <charset val="134"/>
    </font>
    <font>
      <b/>
      <sz val="14"/>
      <color rgb="FFFF0000"/>
      <name val="Footlight MT Light"/>
      <charset val="134"/>
    </font>
    <font>
      <sz val="11"/>
      <color theme="1"/>
      <name val="Calibri"/>
      <charset val="13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>
      <alignment vertical="center"/>
    </xf>
    <xf numFmtId="165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64" fontId="16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</cellStyleXfs>
  <cellXfs count="40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165" fontId="0" fillId="0" borderId="0" xfId="1" applyFont="1">
      <alignment vertical="center"/>
    </xf>
    <xf numFmtId="165" fontId="4" fillId="0" borderId="0" xfId="1" applyFont="1" applyBorder="1">
      <alignment vertical="center"/>
    </xf>
    <xf numFmtId="165" fontId="0" fillId="0" borderId="0" xfId="1" applyFont="1" applyBorder="1">
      <alignment vertical="center"/>
    </xf>
    <xf numFmtId="165" fontId="6" fillId="3" borderId="1" xfId="5" applyNumberFormat="1" applyBorder="1" applyAlignment="1">
      <alignment horizontal="center" vertical="center"/>
    </xf>
    <xf numFmtId="165" fontId="7" fillId="0" borderId="1" xfId="1" applyFont="1" applyBorder="1" applyAlignment="1">
      <alignment vertical="top"/>
    </xf>
    <xf numFmtId="1" fontId="7" fillId="0" borderId="1" xfId="1" applyNumberFormat="1" applyFont="1" applyBorder="1" applyAlignment="1">
      <alignment vertical="top"/>
    </xf>
    <xf numFmtId="165" fontId="5" fillId="0" borderId="1" xfId="1" applyFont="1" applyBorder="1" applyAlignment="1">
      <alignment horizontal="left" vertical="top"/>
    </xf>
    <xf numFmtId="1" fontId="7" fillId="0" borderId="1" xfId="1" applyNumberFormat="1" applyFont="1" applyBorder="1" applyAlignment="1">
      <alignment horizontal="center" vertical="top"/>
    </xf>
    <xf numFmtId="165" fontId="7" fillId="0" borderId="1" xfId="1" applyFont="1" applyBorder="1" applyAlignment="1">
      <alignment horizontal="left" vertical="top"/>
    </xf>
    <xf numFmtId="165" fontId="7" fillId="0" borderId="1" xfId="1" applyFont="1" applyBorder="1" applyAlignment="1">
      <alignment horizontal="right" vertical="center"/>
    </xf>
    <xf numFmtId="165" fontId="7" fillId="0" borderId="6" xfId="1" applyFont="1" applyBorder="1" applyAlignment="1">
      <alignment horizontal="right" vertical="center"/>
    </xf>
    <xf numFmtId="165" fontId="7" fillId="0" borderId="2" xfId="1" applyFont="1" applyBorder="1" applyAlignment="1">
      <alignment horizontal="right" vertical="center"/>
    </xf>
    <xf numFmtId="165" fontId="8" fillId="0" borderId="1" xfId="1" applyFont="1" applyBorder="1" applyAlignment="1">
      <alignment horizontal="right" vertical="top"/>
    </xf>
    <xf numFmtId="165" fontId="7" fillId="0" borderId="1" xfId="1" applyFont="1" applyBorder="1" applyAlignment="1">
      <alignment horizontal="right" vertical="top"/>
    </xf>
    <xf numFmtId="165" fontId="7" fillId="0" borderId="6" xfId="1" applyFont="1" applyBorder="1" applyAlignment="1">
      <alignment horizontal="right" vertical="top"/>
    </xf>
    <xf numFmtId="165" fontId="7" fillId="0" borderId="2" xfId="1" applyFont="1" applyBorder="1" applyAlignment="1">
      <alignment horizontal="right" vertical="top"/>
    </xf>
    <xf numFmtId="165" fontId="8" fillId="0" borderId="1" xfId="1" applyFont="1" applyBorder="1" applyAlignment="1">
      <alignment vertical="top"/>
    </xf>
    <xf numFmtId="1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4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1" fontId="7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165" fontId="7" fillId="0" borderId="2" xfId="1" applyFont="1" applyBorder="1" applyAlignment="1">
      <alignment vertical="top"/>
    </xf>
    <xf numFmtId="0" fontId="9" fillId="2" borderId="1" xfId="0" applyFont="1" applyFill="1" applyBorder="1" applyAlignment="1">
      <alignment horizontal="center" vertical="center"/>
    </xf>
    <xf numFmtId="165" fontId="9" fillId="2" borderId="1" xfId="1" applyFont="1" applyFill="1" applyBorder="1" applyAlignment="1">
      <alignment horizontal="center" vertical="center"/>
    </xf>
    <xf numFmtId="166" fontId="9" fillId="2" borderId="1" xfId="1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" fontId="5" fillId="6" borderId="7" xfId="0" applyNumberFormat="1" applyFont="1" applyFill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4" fontId="7" fillId="0" borderId="7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4" fontId="7" fillId="0" borderId="7" xfId="0" applyNumberFormat="1" applyFont="1" applyBorder="1" applyAlignment="1">
      <alignment horizontal="right" vertical="top" wrapText="1"/>
    </xf>
    <xf numFmtId="165" fontId="5" fillId="2" borderId="3" xfId="1" applyFont="1" applyFill="1" applyBorder="1" applyAlignment="1">
      <alignment horizontal="center" vertical="center" wrapText="1"/>
    </xf>
    <xf numFmtId="165" fontId="6" fillId="4" borderId="1" xfId="4" applyNumberFormat="1" applyBorder="1" applyAlignment="1">
      <alignment horizontal="center" vertical="center"/>
    </xf>
    <xf numFmtId="165" fontId="7" fillId="0" borderId="8" xfId="1" applyFont="1" applyBorder="1" applyAlignment="1">
      <alignment horizontal="right" vertical="top"/>
    </xf>
    <xf numFmtId="165" fontId="7" fillId="0" borderId="8" xfId="1" applyFont="1" applyBorder="1" applyAlignment="1">
      <alignment vertical="top"/>
    </xf>
    <xf numFmtId="165" fontId="7" fillId="0" borderId="6" xfId="1" applyFont="1" applyBorder="1" applyAlignment="1">
      <alignment vertical="top"/>
    </xf>
    <xf numFmtId="167" fontId="8" fillId="0" borderId="1" xfId="1" applyNumberFormat="1" applyFont="1" applyBorder="1" applyAlignment="1">
      <alignment horizontal="right" vertical="top"/>
    </xf>
    <xf numFmtId="4" fontId="7" fillId="0" borderId="8" xfId="0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right" vertical="top"/>
    </xf>
    <xf numFmtId="0" fontId="7" fillId="0" borderId="6" xfId="0" applyFont="1" applyBorder="1" applyAlignment="1">
      <alignment horizontal="right" vertical="top"/>
    </xf>
    <xf numFmtId="0" fontId="7" fillId="0" borderId="8" xfId="0" applyFont="1" applyBorder="1" applyAlignment="1">
      <alignment horizontal="right" vertical="top"/>
    </xf>
    <xf numFmtId="0" fontId="7" fillId="0" borderId="2" xfId="0" applyFont="1" applyBorder="1" applyAlignment="1">
      <alignment horizontal="right" vertical="center"/>
    </xf>
    <xf numFmtId="165" fontId="7" fillId="0" borderId="8" xfId="1" applyFont="1" applyFill="1" applyBorder="1" applyAlignment="1">
      <alignment horizontal="right" vertical="top"/>
    </xf>
    <xf numFmtId="167" fontId="7" fillId="0" borderId="1" xfId="1" applyNumberFormat="1" applyFont="1" applyBorder="1" applyAlignment="1">
      <alignment vertical="top"/>
    </xf>
    <xf numFmtId="4" fontId="9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6" borderId="1" xfId="0" applyFont="1" applyFill="1" applyBorder="1" applyAlignment="1">
      <alignment horizontal="right" vertical="top" wrapText="1"/>
    </xf>
    <xf numFmtId="0" fontId="5" fillId="6" borderId="6" xfId="0" applyFont="1" applyFill="1" applyBorder="1" applyAlignment="1">
      <alignment horizontal="right" vertical="top" wrapText="1"/>
    </xf>
    <xf numFmtId="0" fontId="5" fillId="6" borderId="3" xfId="0" applyFont="1" applyFill="1" applyBorder="1" applyAlignment="1">
      <alignment horizontal="right" vertical="top" wrapText="1"/>
    </xf>
    <xf numFmtId="4" fontId="5" fillId="6" borderId="3" xfId="0" applyNumberFormat="1" applyFont="1" applyFill="1" applyBorder="1" applyAlignment="1">
      <alignment horizontal="right" vertical="top" wrapText="1"/>
    </xf>
    <xf numFmtId="0" fontId="7" fillId="0" borderId="1" xfId="0" applyFont="1" applyBorder="1" applyAlignment="1">
      <alignment horizontal="right" wrapText="1"/>
    </xf>
    <xf numFmtId="0" fontId="7" fillId="0" borderId="6" xfId="0" applyFont="1" applyBorder="1" applyAlignment="1">
      <alignment horizontal="right" wrapText="1"/>
    </xf>
    <xf numFmtId="0" fontId="7" fillId="0" borderId="3" xfId="0" applyFont="1" applyBorder="1" applyAlignment="1">
      <alignment horizontal="right" wrapText="1"/>
    </xf>
    <xf numFmtId="0" fontId="7" fillId="0" borderId="6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right" vertical="top" wrapText="1"/>
    </xf>
    <xf numFmtId="4" fontId="7" fillId="0" borderId="3" xfId="0" applyNumberFormat="1" applyFont="1" applyFill="1" applyBorder="1" applyAlignment="1">
      <alignment horizontal="right" vertical="top" wrapText="1"/>
    </xf>
    <xf numFmtId="4" fontId="7" fillId="0" borderId="3" xfId="0" applyNumberFormat="1" applyFont="1" applyFill="1" applyBorder="1" applyAlignment="1">
      <alignment horizontal="right" wrapText="1"/>
    </xf>
    <xf numFmtId="4" fontId="7" fillId="0" borderId="3" xfId="0" applyNumberFormat="1" applyFont="1" applyBorder="1" applyAlignment="1">
      <alignment horizontal="right" vertical="top" wrapText="1"/>
    </xf>
    <xf numFmtId="4" fontId="7" fillId="0" borderId="3" xfId="1" applyNumberFormat="1" applyFont="1" applyFill="1" applyBorder="1" applyAlignment="1">
      <alignment horizontal="right" wrapText="1"/>
    </xf>
    <xf numFmtId="4" fontId="7" fillId="0" borderId="3" xfId="1" applyNumberFormat="1" applyFont="1" applyBorder="1" applyAlignment="1">
      <alignment horizontal="right" wrapText="1"/>
    </xf>
    <xf numFmtId="165" fontId="7" fillId="0" borderId="8" xfId="1" applyFont="1" applyFill="1" applyBorder="1" applyAlignment="1">
      <alignment vertical="top"/>
    </xf>
    <xf numFmtId="3" fontId="9" fillId="2" borderId="1" xfId="0" applyNumberFormat="1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right" vertical="top" wrapText="1"/>
    </xf>
    <xf numFmtId="4" fontId="7" fillId="0" borderId="7" xfId="0" applyNumberFormat="1" applyFont="1" applyFill="1" applyBorder="1" applyAlignment="1">
      <alignment horizontal="right" wrapText="1"/>
    </xf>
    <xf numFmtId="4" fontId="7" fillId="0" borderId="7" xfId="1" applyNumberFormat="1" applyFont="1" applyFill="1" applyBorder="1" applyAlignment="1">
      <alignment horizontal="right" wrapText="1"/>
    </xf>
    <xf numFmtId="4" fontId="7" fillId="0" borderId="7" xfId="1" applyNumberFormat="1" applyFont="1" applyBorder="1" applyAlignment="1">
      <alignment horizontal="right" wrapText="1"/>
    </xf>
    <xf numFmtId="165" fontId="7" fillId="0" borderId="1" xfId="1" applyFont="1" applyFill="1" applyBorder="1" applyAlignment="1">
      <alignment horizontal="right" vertical="top"/>
    </xf>
    <xf numFmtId="2" fontId="7" fillId="0" borderId="8" xfId="0" applyNumberFormat="1" applyFont="1" applyBorder="1" applyAlignment="1">
      <alignment horizontal="right" vertical="top"/>
    </xf>
    <xf numFmtId="165" fontId="7" fillId="0" borderId="1" xfId="1" applyFont="1" applyFill="1" applyBorder="1" applyAlignment="1">
      <alignment vertical="top"/>
    </xf>
    <xf numFmtId="4" fontId="7" fillId="0" borderId="1" xfId="0" applyNumberFormat="1" applyFont="1" applyBorder="1" applyAlignment="1">
      <alignment horizontal="right" vertical="top" wrapText="1"/>
    </xf>
    <xf numFmtId="4" fontId="7" fillId="0" borderId="6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wrapText="1"/>
    </xf>
    <xf numFmtId="4" fontId="7" fillId="0" borderId="6" xfId="0" applyNumberFormat="1" applyFont="1" applyBorder="1" applyAlignment="1">
      <alignment horizontal="right" wrapText="1"/>
    </xf>
    <xf numFmtId="4" fontId="7" fillId="0" borderId="3" xfId="0" applyNumberFormat="1" applyFont="1" applyBorder="1" applyAlignment="1">
      <alignment horizontal="right" wrapText="1"/>
    </xf>
    <xf numFmtId="4" fontId="7" fillId="0" borderId="1" xfId="1" applyNumberFormat="1" applyFont="1" applyBorder="1" applyAlignment="1">
      <alignment horizontal="right" wrapText="1"/>
    </xf>
    <xf numFmtId="4" fontId="7" fillId="0" borderId="6" xfId="1" applyNumberFormat="1" applyFont="1" applyBorder="1" applyAlignment="1">
      <alignment horizontal="right" wrapText="1"/>
    </xf>
    <xf numFmtId="4" fontId="7" fillId="0" borderId="1" xfId="1" applyNumberFormat="1" applyFont="1" applyFill="1" applyBorder="1" applyAlignment="1">
      <alignment horizontal="right" wrapText="1"/>
    </xf>
    <xf numFmtId="0" fontId="3" fillId="0" borderId="0" xfId="0" applyFont="1" applyAlignment="1"/>
    <xf numFmtId="165" fontId="6" fillId="7" borderId="1" xfId="6" applyNumberFormat="1" applyBorder="1" applyAlignment="1">
      <alignment horizontal="center" vertical="center"/>
    </xf>
    <xf numFmtId="165" fontId="6" fillId="7" borderId="1" xfId="6" applyNumberFormat="1" applyBorder="1" applyAlignment="1">
      <alignment horizontal="left" vertical="center"/>
    </xf>
    <xf numFmtId="165" fontId="0" fillId="0" borderId="1" xfId="1" applyFont="1" applyBorder="1">
      <alignment vertical="center"/>
    </xf>
    <xf numFmtId="0" fontId="0" fillId="0" borderId="1" xfId="0" applyBorder="1">
      <alignment vertical="center"/>
    </xf>
    <xf numFmtId="165" fontId="0" fillId="0" borderId="1" xfId="0" applyNumberForma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6" borderId="0" xfId="0" applyFont="1" applyFill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 wrapText="1"/>
    </xf>
    <xf numFmtId="165" fontId="7" fillId="0" borderId="3" xfId="1" applyFont="1" applyBorder="1" applyAlignment="1">
      <alignment horizontal="right" wrapText="1"/>
    </xf>
    <xf numFmtId="165" fontId="7" fillId="0" borderId="3" xfId="1" applyFont="1" applyBorder="1" applyAlignment="1">
      <alignment horizontal="right" vertical="top" wrapText="1"/>
    </xf>
    <xf numFmtId="165" fontId="5" fillId="6" borderId="3" xfId="1" applyFont="1" applyFill="1" applyBorder="1" applyAlignment="1">
      <alignment horizontal="right" vertical="top" wrapText="1"/>
    </xf>
    <xf numFmtId="0" fontId="0" fillId="0" borderId="0" xfId="0" applyFont="1">
      <alignment vertical="center"/>
    </xf>
    <xf numFmtId="165" fontId="1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5" fillId="8" borderId="3" xfId="0" applyFont="1" applyFill="1" applyBorder="1" applyAlignment="1">
      <alignment horizontal="center" wrapText="1"/>
    </xf>
    <xf numFmtId="4" fontId="5" fillId="8" borderId="7" xfId="0" applyNumberFormat="1" applyFont="1" applyFill="1" applyBorder="1" applyAlignment="1">
      <alignment horizontal="right" wrapText="1"/>
    </xf>
    <xf numFmtId="165" fontId="0" fillId="0" borderId="0" xfId="1" applyFont="1" applyAlignment="1">
      <alignment horizontal="left" vertical="center"/>
    </xf>
    <xf numFmtId="4" fontId="7" fillId="0" borderId="3" xfId="1" applyNumberFormat="1" applyFont="1" applyFill="1" applyBorder="1" applyAlignment="1">
      <alignment horizontal="right" vertical="top" wrapText="1"/>
    </xf>
    <xf numFmtId="4" fontId="7" fillId="0" borderId="3" xfId="1" applyNumberFormat="1" applyFont="1" applyBorder="1" applyAlignment="1">
      <alignment horizontal="right" vertical="top" wrapText="1"/>
    </xf>
    <xf numFmtId="4" fontId="5" fillId="6" borderId="3" xfId="1" applyNumberFormat="1" applyFont="1" applyFill="1" applyBorder="1" applyAlignment="1">
      <alignment horizontal="right" vertical="top" wrapText="1"/>
    </xf>
    <xf numFmtId="2" fontId="7" fillId="0" borderId="1" xfId="0" applyNumberFormat="1" applyFont="1" applyBorder="1" applyAlignment="1">
      <alignment horizontal="right" vertical="top" wrapText="1"/>
    </xf>
    <xf numFmtId="2" fontId="7" fillId="0" borderId="6" xfId="0" applyNumberFormat="1" applyFont="1" applyBorder="1" applyAlignment="1">
      <alignment horizontal="right" vertical="top" wrapText="1"/>
    </xf>
    <xf numFmtId="2" fontId="7" fillId="0" borderId="3" xfId="0" applyNumberFormat="1" applyFont="1" applyBorder="1" applyAlignment="1">
      <alignment horizontal="right" vertical="top" wrapText="1"/>
    </xf>
    <xf numFmtId="165" fontId="7" fillId="0" borderId="7" xfId="1" applyFont="1" applyBorder="1" applyAlignment="1">
      <alignment horizontal="right" vertical="top" wrapText="1"/>
    </xf>
    <xf numFmtId="165" fontId="7" fillId="0" borderId="1" xfId="1" applyFont="1" applyBorder="1" applyAlignment="1">
      <alignment horizontal="right" vertical="top" wrapText="1"/>
    </xf>
    <xf numFmtId="165" fontId="7" fillId="0" borderId="6" xfId="1" applyFont="1" applyBorder="1" applyAlignment="1">
      <alignment horizontal="right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right"/>
    </xf>
    <xf numFmtId="0" fontId="5" fillId="8" borderId="6" xfId="0" applyFont="1" applyFill="1" applyBorder="1" applyAlignment="1">
      <alignment horizontal="right" wrapText="1"/>
    </xf>
    <xf numFmtId="0" fontId="5" fillId="8" borderId="3" xfId="0" applyFont="1" applyFill="1" applyBorder="1" applyAlignment="1">
      <alignment horizontal="right" wrapText="1"/>
    </xf>
    <xf numFmtId="0" fontId="5" fillId="8" borderId="1" xfId="0" applyFont="1" applyFill="1" applyBorder="1" applyAlignment="1">
      <alignment horizontal="right" wrapText="1"/>
    </xf>
    <xf numFmtId="4" fontId="5" fillId="8" borderId="3" xfId="0" applyNumberFormat="1" applyFont="1" applyFill="1" applyBorder="1" applyAlignment="1">
      <alignment horizontal="right" wrapText="1"/>
    </xf>
    <xf numFmtId="4" fontId="7" fillId="9" borderId="0" xfId="1" applyNumberFormat="1" applyFont="1" applyFill="1" applyAlignment="1">
      <alignment horizontal="right" vertical="top" wrapText="1"/>
    </xf>
    <xf numFmtId="4" fontId="7" fillId="0" borderId="7" xfId="1" applyNumberFormat="1" applyFont="1" applyFill="1" applyBorder="1" applyAlignment="1">
      <alignment horizontal="right" vertical="top" wrapText="1"/>
    </xf>
    <xf numFmtId="4" fontId="7" fillId="0" borderId="7" xfId="1" applyNumberFormat="1" applyFont="1" applyBorder="1" applyAlignment="1">
      <alignment horizontal="right" vertical="top" wrapText="1"/>
    </xf>
    <xf numFmtId="4" fontId="5" fillId="6" borderId="7" xfId="1" applyNumberFormat="1" applyFont="1" applyFill="1" applyBorder="1" applyAlignment="1">
      <alignment horizontal="right" vertical="top" wrapText="1"/>
    </xf>
    <xf numFmtId="4" fontId="7" fillId="9" borderId="9" xfId="1" applyNumberFormat="1" applyFont="1" applyFill="1" applyBorder="1" applyAlignment="1">
      <alignment horizontal="right" vertical="top" wrapText="1"/>
    </xf>
    <xf numFmtId="4" fontId="7" fillId="0" borderId="1" xfId="1" applyNumberFormat="1" applyFont="1" applyFill="1" applyBorder="1" applyAlignment="1">
      <alignment horizontal="right" vertical="top" wrapText="1"/>
    </xf>
    <xf numFmtId="4" fontId="7" fillId="0" borderId="6" xfId="1" applyNumberFormat="1" applyFont="1" applyBorder="1" applyAlignment="1">
      <alignment horizontal="right" vertical="top" wrapText="1"/>
    </xf>
    <xf numFmtId="4" fontId="7" fillId="0" borderId="1" xfId="1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center" vertical="top" wrapText="1"/>
    </xf>
    <xf numFmtId="4" fontId="7" fillId="0" borderId="6" xfId="0" applyNumberFormat="1" applyFont="1" applyBorder="1" applyAlignment="1">
      <alignment horizontal="center" vertical="top" wrapText="1"/>
    </xf>
    <xf numFmtId="4" fontId="7" fillId="0" borderId="3" xfId="0" applyNumberFormat="1" applyFont="1" applyBorder="1" applyAlignment="1">
      <alignment horizontal="center" vertical="top" wrapText="1"/>
    </xf>
    <xf numFmtId="165" fontId="7" fillId="0" borderId="3" xfId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165" fontId="5" fillId="8" borderId="3" xfId="1" applyFont="1" applyFill="1" applyBorder="1" applyAlignment="1">
      <alignment horizontal="right" wrapText="1"/>
    </xf>
    <xf numFmtId="4" fontId="5" fillId="8" borderId="1" xfId="0" applyNumberFormat="1" applyFont="1" applyFill="1" applyBorder="1" applyAlignment="1">
      <alignment horizontal="right" wrapText="1"/>
    </xf>
    <xf numFmtId="0" fontId="5" fillId="8" borderId="0" xfId="0" applyFont="1" applyFill="1" applyBorder="1" applyAlignment="1">
      <alignment horizontal="right" wrapText="1"/>
    </xf>
    <xf numFmtId="4" fontId="7" fillId="0" borderId="0" xfId="0" applyNumberFormat="1" applyFont="1" applyAlignment="1">
      <alignment horizontal="right" vertical="top" wrapText="1"/>
    </xf>
    <xf numFmtId="4" fontId="12" fillId="0" borderId="0" xfId="0" applyNumberFormat="1" applyFont="1" applyAlignment="1">
      <alignment horizontal="right" vertical="top" wrapText="1"/>
    </xf>
    <xf numFmtId="2" fontId="0" fillId="0" borderId="0" xfId="2" applyNumberFormat="1" applyFont="1">
      <alignment vertical="center"/>
    </xf>
    <xf numFmtId="2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5" fillId="0" borderId="8" xfId="0" applyFont="1" applyBorder="1" applyAlignment="1">
      <alignment horizontal="center" vertical="top" wrapText="1"/>
    </xf>
    <xf numFmtId="4" fontId="5" fillId="6" borderId="8" xfId="0" applyNumberFormat="1" applyFont="1" applyFill="1" applyBorder="1" applyAlignment="1">
      <alignment horizontal="right" vertical="top" wrapText="1"/>
    </xf>
    <xf numFmtId="0" fontId="7" fillId="0" borderId="1" xfId="0" applyFont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center" wrapText="1"/>
    </xf>
    <xf numFmtId="4" fontId="7" fillId="0" borderId="5" xfId="0" applyNumberFormat="1" applyFont="1" applyBorder="1" applyAlignment="1">
      <alignment wrapText="1"/>
    </xf>
    <xf numFmtId="4" fontId="7" fillId="0" borderId="13" xfId="0" applyNumberFormat="1" applyFont="1" applyBorder="1" applyAlignment="1">
      <alignment wrapText="1"/>
    </xf>
    <xf numFmtId="4" fontId="7" fillId="0" borderId="8" xfId="0" applyNumberFormat="1" applyFont="1" applyBorder="1" applyAlignment="1">
      <alignment horizontal="right" wrapText="1"/>
    </xf>
    <xf numFmtId="167" fontId="7" fillId="0" borderId="1" xfId="1" applyNumberFormat="1" applyFont="1" applyBorder="1" applyAlignment="1">
      <alignment horizontal="right" wrapText="1"/>
    </xf>
    <xf numFmtId="4" fontId="7" fillId="0" borderId="12" xfId="0" applyNumberFormat="1" applyFont="1" applyBorder="1" applyAlignment="1">
      <alignment wrapText="1"/>
    </xf>
    <xf numFmtId="4" fontId="7" fillId="0" borderId="12" xfId="0" applyNumberFormat="1" applyFont="1" applyBorder="1" applyAlignment="1">
      <alignment vertical="top" wrapText="1"/>
    </xf>
    <xf numFmtId="0" fontId="7" fillId="0" borderId="8" xfId="0" applyFont="1" applyBorder="1" applyAlignment="1">
      <alignment horizontal="right" vertical="top" wrapText="1"/>
    </xf>
    <xf numFmtId="167" fontId="7" fillId="0" borderId="1" xfId="1" applyNumberFormat="1" applyFont="1" applyBorder="1" applyAlignment="1">
      <alignment horizontal="right" vertical="top" wrapText="1"/>
    </xf>
    <xf numFmtId="4" fontId="7" fillId="0" borderId="12" xfId="1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4" fontId="7" fillId="0" borderId="13" xfId="0" applyNumberFormat="1" applyFont="1" applyBorder="1" applyAlignment="1">
      <alignment vertical="center" wrapText="1"/>
    </xf>
    <xf numFmtId="4" fontId="7" fillId="0" borderId="8" xfId="0" applyNumberFormat="1" applyFont="1" applyBorder="1" applyAlignment="1">
      <alignment horizontal="right" vertical="top" wrapText="1"/>
    </xf>
    <xf numFmtId="4" fontId="7" fillId="0" borderId="2" xfId="0" applyNumberFormat="1" applyFont="1" applyBorder="1" applyAlignment="1">
      <alignment horizontal="right" vertical="top" wrapText="1"/>
    </xf>
    <xf numFmtId="0" fontId="7" fillId="0" borderId="1" xfId="0" applyFont="1" applyFill="1" applyBorder="1" applyAlignment="1">
      <alignment horizontal="left" vertical="top" wrapText="1"/>
    </xf>
    <xf numFmtId="4" fontId="7" fillId="0" borderId="12" xfId="1" applyNumberFormat="1" applyFont="1" applyBorder="1" applyAlignment="1">
      <alignment vertical="top" wrapText="1"/>
    </xf>
    <xf numFmtId="4" fontId="7" fillId="0" borderId="14" xfId="0" applyNumberFormat="1" applyFont="1" applyBorder="1" applyAlignment="1">
      <alignment horizontal="right" vertical="top" wrapText="1"/>
    </xf>
    <xf numFmtId="4" fontId="7" fillId="0" borderId="2" xfId="0" applyNumberFormat="1" applyFont="1" applyBorder="1" applyAlignment="1">
      <alignment horizontal="right" wrapText="1"/>
    </xf>
    <xf numFmtId="4" fontId="7" fillId="0" borderId="12" xfId="1" applyNumberFormat="1" applyFont="1" applyBorder="1" applyAlignment="1">
      <alignment wrapText="1"/>
    </xf>
    <xf numFmtId="4" fontId="7" fillId="0" borderId="12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top" wrapText="1"/>
    </xf>
    <xf numFmtId="167" fontId="7" fillId="0" borderId="1" xfId="1" applyNumberFormat="1" applyFont="1" applyBorder="1" applyAlignment="1">
      <alignment horizontal="center" vertical="top" wrapText="1"/>
    </xf>
    <xf numFmtId="4" fontId="5" fillId="8" borderId="8" xfId="0" applyNumberFormat="1" applyFont="1" applyFill="1" applyBorder="1" applyAlignment="1">
      <alignment horizontal="right" wrapText="1"/>
    </xf>
    <xf numFmtId="167" fontId="7" fillId="0" borderId="6" xfId="1" applyNumberFormat="1" applyFont="1" applyBorder="1" applyAlignment="1">
      <alignment horizontal="right" wrapText="1"/>
    </xf>
    <xf numFmtId="4" fontId="7" fillId="0" borderId="7" xfId="0" applyNumberFormat="1" applyFont="1" applyBorder="1" applyAlignment="1">
      <alignment horizontal="right" vertical="center" wrapText="1"/>
    </xf>
    <xf numFmtId="167" fontId="7" fillId="0" borderId="6" xfId="1" applyNumberFormat="1" applyFont="1" applyBorder="1" applyAlignment="1">
      <alignment horizontal="right" vertical="top" wrapText="1"/>
    </xf>
    <xf numFmtId="4" fontId="7" fillId="0" borderId="6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wrapText="1"/>
    </xf>
    <xf numFmtId="3" fontId="7" fillId="0" borderId="6" xfId="0" applyNumberFormat="1" applyFont="1" applyBorder="1" applyAlignment="1">
      <alignment horizontal="right" wrapText="1"/>
    </xf>
    <xf numFmtId="3" fontId="7" fillId="0" borderId="1" xfId="1" applyNumberFormat="1" applyFont="1" applyBorder="1" applyAlignment="1">
      <alignment horizontal="right" wrapText="1"/>
    </xf>
    <xf numFmtId="3" fontId="7" fillId="0" borderId="6" xfId="1" applyNumberFormat="1" applyFont="1" applyBorder="1" applyAlignment="1">
      <alignment horizontal="right" wrapText="1"/>
    </xf>
    <xf numFmtId="3" fontId="7" fillId="0" borderId="1" xfId="1" applyNumberFormat="1" applyFont="1" applyFill="1" applyBorder="1" applyAlignment="1">
      <alignment horizontal="right" wrapText="1"/>
    </xf>
    <xf numFmtId="4" fontId="7" fillId="0" borderId="7" xfId="3" applyNumberFormat="1" applyFont="1" applyBorder="1" applyAlignment="1">
      <alignment horizontal="right" vertical="top" wrapText="1"/>
    </xf>
    <xf numFmtId="167" fontId="7" fillId="0" borderId="6" xfId="1" applyNumberFormat="1" applyFont="1" applyBorder="1" applyAlignment="1">
      <alignment horizontal="center" vertical="top" wrapText="1"/>
    </xf>
    <xf numFmtId="4" fontId="0" fillId="0" borderId="0" xfId="0" applyNumberFormat="1">
      <alignment vertical="center"/>
    </xf>
    <xf numFmtId="165" fontId="7" fillId="0" borderId="7" xfId="1" applyFont="1" applyFill="1" applyBorder="1" applyAlignment="1">
      <alignment horizontal="right" wrapText="1"/>
    </xf>
    <xf numFmtId="165" fontId="7" fillId="0" borderId="1" xfId="1" applyFont="1" applyBorder="1" applyAlignment="1">
      <alignment horizontal="right" wrapText="1"/>
    </xf>
    <xf numFmtId="165" fontId="7" fillId="0" borderId="6" xfId="1" applyFont="1" applyBorder="1" applyAlignment="1">
      <alignment horizontal="right" wrapText="1"/>
    </xf>
    <xf numFmtId="165" fontId="7" fillId="0" borderId="7" xfId="1" applyFont="1" applyBorder="1" applyAlignment="1">
      <alignment horizontal="right" wrapText="1"/>
    </xf>
    <xf numFmtId="165" fontId="7" fillId="0" borderId="1" xfId="1" applyFont="1" applyFill="1" applyBorder="1" applyAlignment="1">
      <alignment horizontal="right" wrapText="1"/>
    </xf>
    <xf numFmtId="165" fontId="7" fillId="0" borderId="7" xfId="1" applyFont="1" applyFill="1" applyBorder="1" applyAlignment="1">
      <alignment horizontal="right" vertical="top" wrapText="1"/>
    </xf>
    <xf numFmtId="165" fontId="7" fillId="0" borderId="1" xfId="1" applyFont="1" applyFill="1" applyBorder="1" applyAlignment="1">
      <alignment horizontal="right" vertical="top" wrapText="1"/>
    </xf>
    <xf numFmtId="165" fontId="7" fillId="0" borderId="1" xfId="1" applyFont="1" applyBorder="1" applyAlignment="1">
      <alignment horizontal="center" vertical="top" wrapText="1"/>
    </xf>
    <xf numFmtId="165" fontId="7" fillId="0" borderId="6" xfId="1" applyFont="1" applyBorder="1" applyAlignment="1">
      <alignment horizontal="center" vertical="top" wrapText="1"/>
    </xf>
    <xf numFmtId="165" fontId="5" fillId="8" borderId="7" xfId="1" applyFont="1" applyFill="1" applyBorder="1" applyAlignment="1">
      <alignment horizontal="right" wrapText="1"/>
    </xf>
    <xf numFmtId="165" fontId="5" fillId="8" borderId="1" xfId="1" applyFont="1" applyFill="1" applyBorder="1" applyAlignment="1">
      <alignment horizontal="right" wrapText="1"/>
    </xf>
    <xf numFmtId="165" fontId="5" fillId="8" borderId="6" xfId="1" applyFont="1" applyFill="1" applyBorder="1" applyAlignment="1">
      <alignment horizontal="right" wrapText="1"/>
    </xf>
    <xf numFmtId="165" fontId="7" fillId="0" borderId="16" xfId="1" applyFont="1" applyFill="1" applyBorder="1" applyAlignment="1">
      <alignment horizontal="right" vertical="top" wrapText="1"/>
    </xf>
    <xf numFmtId="0" fontId="0" fillId="0" borderId="0" xfId="0" applyAlignment="1">
      <alignment horizontal="left" vertical="center"/>
    </xf>
    <xf numFmtId="10" fontId="0" fillId="0" borderId="0" xfId="2" applyNumberFormat="1" applyFont="1">
      <alignment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left" vertical="top"/>
    </xf>
    <xf numFmtId="2" fontId="7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3" fontId="7" fillId="0" borderId="1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167" fontId="8" fillId="0" borderId="1" xfId="1" applyNumberFormat="1" applyFont="1" applyBorder="1" applyAlignment="1">
      <alignment vertical="top"/>
    </xf>
    <xf numFmtId="165" fontId="5" fillId="2" borderId="1" xfId="1" applyNumberFormat="1" applyFont="1" applyFill="1" applyBorder="1" applyAlignment="1">
      <alignment horizontal="right"/>
    </xf>
    <xf numFmtId="0" fontId="7" fillId="0" borderId="8" xfId="0" applyFont="1" applyBorder="1" applyAlignment="1">
      <alignment vertical="top"/>
    </xf>
    <xf numFmtId="166" fontId="7" fillId="0" borderId="8" xfId="1" applyNumberFormat="1" applyFont="1" applyBorder="1" applyAlignment="1">
      <alignment horizontal="right" vertical="top"/>
    </xf>
    <xf numFmtId="167" fontId="7" fillId="0" borderId="1" xfId="1" applyNumberFormat="1" applyFont="1" applyBorder="1" applyAlignment="1">
      <alignment horizontal="right" vertical="top"/>
    </xf>
    <xf numFmtId="166" fontId="7" fillId="0" borderId="8" xfId="0" applyNumberFormat="1" applyFont="1" applyBorder="1" applyAlignment="1">
      <alignment horizontal="right" vertical="top"/>
    </xf>
    <xf numFmtId="166" fontId="7" fillId="0" borderId="1" xfId="0" applyNumberFormat="1" applyFont="1" applyBorder="1" applyAlignment="1">
      <alignment horizontal="right" vertical="center"/>
    </xf>
    <xf numFmtId="166" fontId="7" fillId="0" borderId="8" xfId="0" applyNumberFormat="1" applyFont="1" applyBorder="1" applyAlignment="1">
      <alignment vertical="top"/>
    </xf>
    <xf numFmtId="166" fontId="7" fillId="0" borderId="1" xfId="0" applyNumberFormat="1" applyFont="1" applyBorder="1" applyAlignment="1">
      <alignment vertical="top"/>
    </xf>
    <xf numFmtId="166" fontId="5" fillId="2" borderId="1" xfId="1" applyNumberFormat="1" applyFont="1" applyFill="1" applyBorder="1" applyAlignment="1">
      <alignment horizontal="right"/>
    </xf>
    <xf numFmtId="165" fontId="7" fillId="0" borderId="1" xfId="1" applyNumberFormat="1" applyFont="1" applyBorder="1" applyAlignment="1">
      <alignment horizontal="right" vertical="top"/>
    </xf>
    <xf numFmtId="165" fontId="7" fillId="0" borderId="1" xfId="1" applyNumberFormat="1" applyFont="1" applyBorder="1" applyAlignment="1">
      <alignment vertical="top"/>
    </xf>
    <xf numFmtId="165" fontId="5" fillId="6" borderId="7" xfId="1" applyFont="1" applyFill="1" applyBorder="1" applyAlignment="1">
      <alignment horizontal="right" vertical="top" wrapText="1"/>
    </xf>
    <xf numFmtId="165" fontId="5" fillId="6" borderId="1" xfId="1" applyFont="1" applyFill="1" applyBorder="1" applyAlignment="1">
      <alignment horizontal="right" vertical="top" wrapText="1"/>
    </xf>
    <xf numFmtId="165" fontId="5" fillId="6" borderId="6" xfId="1" applyFont="1" applyFill="1" applyBorder="1" applyAlignment="1">
      <alignment horizontal="right" vertical="top" wrapText="1"/>
    </xf>
    <xf numFmtId="39" fontId="7" fillId="0" borderId="1" xfId="1" applyNumberFormat="1" applyFont="1" applyBorder="1" applyAlignment="1">
      <alignment horizontal="right" vertical="top"/>
    </xf>
    <xf numFmtId="165" fontId="7" fillId="0" borderId="1" xfId="0" applyNumberFormat="1" applyFont="1" applyBorder="1" applyAlignment="1">
      <alignment horizontal="right" vertical="top"/>
    </xf>
    <xf numFmtId="165" fontId="7" fillId="0" borderId="1" xfId="0" applyNumberFormat="1" applyFont="1" applyBorder="1" applyAlignment="1">
      <alignment vertical="top"/>
    </xf>
    <xf numFmtId="39" fontId="5" fillId="2" borderId="1" xfId="1" applyNumberFormat="1" applyFont="1" applyFill="1" applyBorder="1" applyAlignment="1">
      <alignment horizontal="right"/>
    </xf>
    <xf numFmtId="168" fontId="0" fillId="0" borderId="0" xfId="0" applyNumberFormat="1">
      <alignment vertical="center"/>
    </xf>
    <xf numFmtId="0" fontId="5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top"/>
    </xf>
    <xf numFmtId="169" fontId="7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right" vertical="top"/>
    </xf>
    <xf numFmtId="4" fontId="7" fillId="0" borderId="1" xfId="0" applyNumberFormat="1" applyFont="1" applyBorder="1" applyAlignment="1">
      <alignment horizontal="right" vertical="top"/>
    </xf>
    <xf numFmtId="170" fontId="7" fillId="0" borderId="1" xfId="0" applyNumberFormat="1" applyFont="1" applyBorder="1" applyAlignment="1">
      <alignment horizontal="right" vertical="top"/>
    </xf>
    <xf numFmtId="170" fontId="7" fillId="0" borderId="1" xfId="0" applyNumberFormat="1" applyFont="1" applyBorder="1" applyAlignment="1">
      <alignment vertical="top"/>
    </xf>
    <xf numFmtId="165" fontId="8" fillId="0" borderId="1" xfId="1" applyFont="1" applyFill="1" applyBorder="1" applyAlignment="1">
      <alignment horizontal="right" vertical="top"/>
    </xf>
    <xf numFmtId="2" fontId="8" fillId="0" borderId="1" xfId="0" applyNumberFormat="1" applyFont="1" applyBorder="1" applyAlignment="1">
      <alignment horizontal="right" vertical="top"/>
    </xf>
    <xf numFmtId="0" fontId="8" fillId="0" borderId="1" xfId="0" applyFont="1" applyBorder="1" applyAlignment="1">
      <alignment vertical="top"/>
    </xf>
    <xf numFmtId="171" fontId="0" fillId="0" borderId="0" xfId="0" applyNumberFormat="1">
      <alignment vertical="center"/>
    </xf>
    <xf numFmtId="0" fontId="5" fillId="0" borderId="2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center"/>
    </xf>
    <xf numFmtId="0" fontId="12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11" fillId="0" borderId="1" xfId="0" applyFont="1" applyBorder="1" applyAlignment="1">
      <alignment horizontal="left" vertical="top"/>
    </xf>
    <xf numFmtId="0" fontId="12" fillId="0" borderId="1" xfId="0" applyFont="1" applyFill="1" applyBorder="1" applyAlignment="1">
      <alignment horizontal="left" vertical="top"/>
    </xf>
    <xf numFmtId="165" fontId="7" fillId="0" borderId="8" xfId="1" applyNumberFormat="1" applyFont="1" applyBorder="1" applyAlignment="1">
      <alignment horizontal="right" vertical="top"/>
    </xf>
    <xf numFmtId="0" fontId="12" fillId="0" borderId="1" xfId="0" applyFont="1" applyFill="1" applyBorder="1" applyAlignment="1">
      <alignment vertical="top"/>
    </xf>
    <xf numFmtId="0" fontId="11" fillId="0" borderId="1" xfId="0" applyFont="1" applyFill="1" applyBorder="1" applyAlignment="1">
      <alignment horizontal="left" vertical="top"/>
    </xf>
    <xf numFmtId="0" fontId="1" fillId="0" borderId="0" xfId="0" applyFont="1" applyFill="1">
      <alignment vertical="center"/>
    </xf>
    <xf numFmtId="0" fontId="12" fillId="0" borderId="1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165" fontId="13" fillId="0" borderId="0" xfId="1" applyFont="1">
      <alignment vertical="center"/>
    </xf>
    <xf numFmtId="0" fontId="5" fillId="2" borderId="6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right"/>
    </xf>
    <xf numFmtId="4" fontId="5" fillId="2" borderId="8" xfId="0" applyNumberFormat="1" applyFont="1" applyFill="1" applyBorder="1" applyAlignment="1">
      <alignment horizontal="right"/>
    </xf>
    <xf numFmtId="165" fontId="7" fillId="0" borderId="14" xfId="1" applyFont="1" applyFill="1" applyBorder="1" applyAlignment="1">
      <alignment horizontal="right" vertical="top"/>
    </xf>
    <xf numFmtId="170" fontId="0" fillId="0" borderId="0" xfId="0" applyNumberFormat="1">
      <alignment vertical="center"/>
    </xf>
    <xf numFmtId="165" fontId="5" fillId="2" borderId="1" xfId="1" applyFont="1" applyFill="1" applyBorder="1" applyAlignment="1">
      <alignment horizontal="right"/>
    </xf>
    <xf numFmtId="165" fontId="0" fillId="0" borderId="0" xfId="0" applyNumberForma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4" fontId="5" fillId="6" borderId="3" xfId="0" applyNumberFormat="1" applyFont="1" applyFill="1" applyBorder="1" applyAlignment="1">
      <alignment horizontal="right" vertical="top" wrapText="1"/>
    </xf>
    <xf numFmtId="4" fontId="7" fillId="0" borderId="3" xfId="0" applyNumberFormat="1" applyFont="1" applyBorder="1" applyAlignment="1">
      <alignment horizontal="right" vertical="top" wrapText="1"/>
    </xf>
    <xf numFmtId="4" fontId="7" fillId="0" borderId="3" xfId="0" applyNumberFormat="1" applyFont="1" applyBorder="1" applyAlignment="1">
      <alignment horizontal="right" wrapText="1"/>
    </xf>
    <xf numFmtId="0" fontId="7" fillId="0" borderId="3" xfId="0" applyFont="1" applyBorder="1" applyAlignment="1">
      <alignment horizontal="right" vertical="top" wrapText="1"/>
    </xf>
    <xf numFmtId="0" fontId="5" fillId="2" borderId="2" xfId="0" applyFont="1" applyFill="1" applyBorder="1" applyAlignment="1">
      <alignment horizontal="center" vertical="center"/>
    </xf>
    <xf numFmtId="165" fontId="5" fillId="2" borderId="19" xfId="1" applyFont="1" applyFill="1" applyBorder="1" applyAlignment="1">
      <alignment horizontal="right"/>
    </xf>
    <xf numFmtId="165" fontId="7" fillId="0" borderId="3" xfId="1" applyFont="1" applyBorder="1" applyAlignment="1">
      <alignment horizontal="right" vertical="top" wrapText="1"/>
    </xf>
    <xf numFmtId="4" fontId="5" fillId="8" borderId="3" xfId="0" applyNumberFormat="1" applyFont="1" applyFill="1" applyBorder="1" applyAlignment="1">
      <alignment horizontal="right" wrapText="1"/>
    </xf>
    <xf numFmtId="165" fontId="7" fillId="0" borderId="3" xfId="1" applyFont="1" applyFill="1" applyBorder="1" applyAlignment="1">
      <alignment horizontal="right" wrapText="1"/>
    </xf>
    <xf numFmtId="165" fontId="7" fillId="0" borderId="3" xfId="1" applyFont="1" applyBorder="1" applyAlignment="1">
      <alignment horizontal="right" wrapText="1"/>
    </xf>
    <xf numFmtId="165" fontId="7" fillId="0" borderId="3" xfId="1" applyFont="1" applyFill="1" applyBorder="1" applyAlignment="1">
      <alignment horizontal="right" vertical="top" wrapText="1"/>
    </xf>
    <xf numFmtId="165" fontId="7" fillId="0" borderId="8" xfId="1" applyFont="1" applyBorder="1" applyAlignment="1">
      <alignment horizontal="right" wrapText="1"/>
    </xf>
    <xf numFmtId="165" fontId="7" fillId="0" borderId="8" xfId="1" applyFont="1" applyFill="1" applyBorder="1" applyAlignment="1">
      <alignment horizontal="right" vertical="top" wrapText="1"/>
    </xf>
    <xf numFmtId="165" fontId="7" fillId="0" borderId="0" xfId="1" applyFont="1" applyFill="1" applyAlignment="1">
      <alignment horizontal="right" vertical="top" wrapText="1"/>
    </xf>
    <xf numFmtId="0" fontId="5" fillId="5" borderId="2" xfId="0" applyFont="1" applyFill="1" applyBorder="1" applyAlignment="1">
      <alignment horizontal="center" vertical="top" wrapText="1"/>
    </xf>
    <xf numFmtId="165" fontId="14" fillId="0" borderId="1" xfId="1" applyFont="1" applyBorder="1" applyAlignment="1">
      <alignment horizontal="right" vertical="top" wrapText="1"/>
    </xf>
    <xf numFmtId="165" fontId="7" fillId="0" borderId="2" xfId="1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vertical="top" wrapText="1"/>
    </xf>
    <xf numFmtId="4" fontId="11" fillId="0" borderId="1" xfId="0" applyNumberFormat="1" applyFont="1" applyBorder="1" applyAlignment="1">
      <alignment horizontal="right" vertical="top" wrapText="1"/>
    </xf>
    <xf numFmtId="10" fontId="11" fillId="0" borderId="1" xfId="2" applyNumberFormat="1" applyFont="1" applyBorder="1" applyAlignment="1">
      <alignment horizontal="right" vertical="top" wrapText="1"/>
    </xf>
    <xf numFmtId="0" fontId="7" fillId="0" borderId="0" xfId="0" applyFont="1">
      <alignment vertical="center"/>
    </xf>
    <xf numFmtId="167" fontId="0" fillId="0" borderId="0" xfId="1" applyNumberFormat="1" applyFont="1">
      <alignment vertical="center"/>
    </xf>
    <xf numFmtId="0" fontId="11" fillId="0" borderId="1" xfId="0" applyFont="1" applyFill="1" applyBorder="1" applyAlignment="1">
      <alignment horizontal="center" vertical="top" wrapText="1"/>
    </xf>
    <xf numFmtId="165" fontId="12" fillId="0" borderId="1" xfId="1" applyFont="1" applyBorder="1" applyAlignment="1">
      <alignment horizontal="center" vertical="top" wrapText="1"/>
    </xf>
    <xf numFmtId="4" fontId="12" fillId="0" borderId="1" xfId="0" applyNumberFormat="1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 wrapText="1"/>
    </xf>
    <xf numFmtId="165" fontId="11" fillId="0" borderId="1" xfId="1" applyFont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right" vertical="top" wrapText="1"/>
    </xf>
    <xf numFmtId="0" fontId="7" fillId="0" borderId="2" xfId="0" applyFont="1" applyBorder="1" applyAlignment="1">
      <alignment horizontal="right" vertical="top" wrapText="1"/>
    </xf>
    <xf numFmtId="0" fontId="7" fillId="0" borderId="2" xfId="0" applyFont="1" applyBorder="1" applyAlignment="1">
      <alignment horizontal="right" wrapText="1"/>
    </xf>
    <xf numFmtId="2" fontId="7" fillId="0" borderId="2" xfId="0" applyNumberFormat="1" applyFont="1" applyBorder="1" applyAlignment="1">
      <alignment horizontal="right" vertical="top" wrapText="1"/>
    </xf>
    <xf numFmtId="0" fontId="7" fillId="0" borderId="2" xfId="0" applyFont="1" applyBorder="1" applyAlignment="1">
      <alignment horizontal="center" vertical="top" wrapText="1"/>
    </xf>
    <xf numFmtId="0" fontId="5" fillId="8" borderId="2" xfId="0" applyFont="1" applyFill="1" applyBorder="1" applyAlignment="1">
      <alignment horizontal="right" wrapText="1"/>
    </xf>
    <xf numFmtId="165" fontId="7" fillId="10" borderId="1" xfId="1" applyFont="1" applyFill="1" applyBorder="1" applyAlignment="1">
      <alignment horizontal="right" vertical="top"/>
    </xf>
    <xf numFmtId="0" fontId="7" fillId="0" borderId="3" xfId="0" applyFont="1" applyBorder="1" applyAlignment="1">
      <alignment vertical="top"/>
    </xf>
    <xf numFmtId="0" fontId="7" fillId="0" borderId="3" xfId="0" applyFont="1" applyBorder="1" applyAlignment="1">
      <alignment horizontal="right" vertical="top"/>
    </xf>
    <xf numFmtId="0" fontId="5" fillId="2" borderId="3" xfId="0" applyFont="1" applyFill="1" applyBorder="1" applyAlignment="1">
      <alignment horizontal="right"/>
    </xf>
    <xf numFmtId="0" fontId="7" fillId="0" borderId="8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0" fontId="5" fillId="2" borderId="8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top"/>
    </xf>
    <xf numFmtId="165" fontId="7" fillId="0" borderId="0" xfId="0" applyNumberFormat="1" applyFont="1" applyBorder="1" applyAlignment="1">
      <alignment horizontal="right" vertical="top"/>
    </xf>
    <xf numFmtId="0" fontId="7" fillId="0" borderId="0" xfId="0" applyFont="1" applyBorder="1" applyAlignment="1">
      <alignment horizontal="right" vertical="top"/>
    </xf>
    <xf numFmtId="4" fontId="5" fillId="2" borderId="0" xfId="0" applyNumberFormat="1" applyFont="1" applyFill="1" applyBorder="1" applyAlignment="1">
      <alignment horizontal="right"/>
    </xf>
    <xf numFmtId="172" fontId="5" fillId="2" borderId="1" xfId="3" applyNumberFormat="1" applyFont="1" applyFill="1" applyBorder="1" applyAlignment="1">
      <alignment horizontal="right"/>
    </xf>
    <xf numFmtId="164" fontId="0" fillId="0" borderId="0" xfId="3" applyFont="1">
      <alignment vertical="center"/>
    </xf>
    <xf numFmtId="172" fontId="0" fillId="0" borderId="0" xfId="3" applyNumberFormat="1" applyFont="1" applyBorder="1">
      <alignment vertical="center"/>
    </xf>
    <xf numFmtId="172" fontId="7" fillId="0" borderId="1" xfId="3" applyNumberFormat="1" applyFont="1" applyBorder="1" applyAlignment="1">
      <alignment vertical="top"/>
    </xf>
    <xf numFmtId="172" fontId="7" fillId="0" borderId="1" xfId="3" applyNumberFormat="1" applyFont="1" applyBorder="1" applyAlignment="1">
      <alignment horizontal="right" vertical="center"/>
    </xf>
    <xf numFmtId="172" fontId="9" fillId="2" borderId="1" xfId="3" applyNumberFormat="1" applyFont="1" applyFill="1" applyBorder="1" applyAlignment="1">
      <alignment horizontal="right" vertical="center"/>
    </xf>
    <xf numFmtId="172" fontId="0" fillId="0" borderId="0" xfId="3" applyNumberFormat="1" applyFont="1">
      <alignment vertical="center"/>
    </xf>
    <xf numFmtId="0" fontId="7" fillId="10" borderId="1" xfId="0" applyFont="1" applyFill="1" applyBorder="1" applyAlignment="1">
      <alignment vertical="top"/>
    </xf>
    <xf numFmtId="0" fontId="11" fillId="0" borderId="1" xfId="0" applyFont="1" applyBorder="1" applyAlignment="1">
      <alignment horizontal="center" vertical="top" wrapText="1"/>
    </xf>
    <xf numFmtId="0" fontId="0" fillId="0" borderId="0" xfId="0" applyAlignment="1">
      <alignment horizontal="left" vertical="center"/>
    </xf>
    <xf numFmtId="0" fontId="5" fillId="5" borderId="1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wrapText="1"/>
    </xf>
    <xf numFmtId="0" fontId="5" fillId="8" borderId="2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/>
    </xf>
    <xf numFmtId="165" fontId="0" fillId="0" borderId="17" xfId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2" fontId="5" fillId="2" borderId="1" xfId="3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top"/>
    </xf>
    <xf numFmtId="0" fontId="5" fillId="5" borderId="10" xfId="0" applyFont="1" applyFill="1" applyBorder="1" applyAlignment="1">
      <alignment horizontal="center" vertical="top" wrapText="1"/>
    </xf>
    <xf numFmtId="0" fontId="5" fillId="5" borderId="11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center"/>
    </xf>
    <xf numFmtId="165" fontId="6" fillId="7" borderId="4" xfId="6" applyNumberFormat="1" applyBorder="1" applyAlignment="1">
      <alignment horizontal="center" vertical="center" wrapText="1"/>
    </xf>
    <xf numFmtId="165" fontId="6" fillId="7" borderId="5" xfId="6" applyNumberFormat="1" applyBorder="1" applyAlignment="1">
      <alignment horizontal="center" vertical="center" wrapText="1"/>
    </xf>
    <xf numFmtId="165" fontId="10" fillId="3" borderId="4" xfId="5" applyNumberFormat="1" applyFont="1" applyBorder="1" applyAlignment="1">
      <alignment horizontal="center" vertical="center" wrapText="1"/>
    </xf>
    <xf numFmtId="165" fontId="10" fillId="3" borderId="5" xfId="5" applyNumberFormat="1" applyFont="1" applyBorder="1" applyAlignment="1">
      <alignment horizontal="center" vertical="center" wrapText="1"/>
    </xf>
    <xf numFmtId="165" fontId="10" fillId="4" borderId="1" xfId="4" applyNumberFormat="1" applyFont="1" applyBorder="1" applyAlignment="1">
      <alignment horizontal="center" vertical="center" wrapText="1"/>
    </xf>
    <xf numFmtId="165" fontId="6" fillId="3" borderId="1" xfId="5" applyNumberFormat="1" applyBorder="1" applyAlignment="1">
      <alignment horizontal="center" vertical="center" wrapText="1"/>
    </xf>
    <xf numFmtId="165" fontId="6" fillId="3" borderId="4" xfId="5" applyNumberFormat="1" applyBorder="1" applyAlignment="1">
      <alignment horizontal="center" vertical="center" wrapText="1"/>
    </xf>
    <xf numFmtId="165" fontId="6" fillId="3" borderId="5" xfId="5" applyNumberFormat="1" applyBorder="1" applyAlignment="1">
      <alignment horizontal="center" vertical="center" wrapText="1"/>
    </xf>
    <xf numFmtId="165" fontId="6" fillId="4" borderId="1" xfId="4" applyNumberFormat="1" applyBorder="1" applyAlignment="1">
      <alignment horizontal="center" vertical="center" wrapText="1"/>
    </xf>
    <xf numFmtId="165" fontId="6" fillId="4" borderId="4" xfId="4" applyNumberFormat="1" applyBorder="1" applyAlignment="1">
      <alignment horizontal="center" vertical="center" wrapText="1"/>
    </xf>
    <xf numFmtId="165" fontId="6" fillId="4" borderId="5" xfId="4" applyNumberFormat="1" applyBorder="1" applyAlignment="1">
      <alignment horizontal="center" vertical="center" wrapText="1"/>
    </xf>
    <xf numFmtId="165" fontId="6" fillId="7" borderId="1" xfId="6" applyNumberFormat="1" applyBorder="1" applyAlignment="1">
      <alignment horizontal="center" vertical="center" wrapText="1"/>
    </xf>
    <xf numFmtId="165" fontId="0" fillId="0" borderId="0" xfId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5" fontId="5" fillId="2" borderId="1" xfId="1" applyFont="1" applyFill="1" applyBorder="1" applyAlignment="1">
      <alignment horizontal="center" vertical="center"/>
    </xf>
    <xf numFmtId="165" fontId="6" fillId="7" borderId="2" xfId="6" applyNumberFormat="1" applyBorder="1" applyAlignment="1">
      <alignment horizontal="center" vertical="center"/>
    </xf>
    <xf numFmtId="165" fontId="6" fillId="7" borderId="3" xfId="6" applyNumberFormat="1" applyBorder="1" applyAlignment="1">
      <alignment horizontal="center" vertical="center"/>
    </xf>
    <xf numFmtId="165" fontId="6" fillId="7" borderId="8" xfId="6" applyNumberFormat="1" applyBorder="1" applyAlignment="1">
      <alignment horizontal="center" vertical="center"/>
    </xf>
    <xf numFmtId="165" fontId="6" fillId="3" borderId="1" xfId="5" applyNumberFormat="1" applyBorder="1" applyAlignment="1">
      <alignment horizontal="center" vertical="center"/>
    </xf>
    <xf numFmtId="165" fontId="6" fillId="4" borderId="1" xfId="4" applyNumberFormat="1" applyBorder="1" applyAlignment="1">
      <alignment horizontal="center" vertical="center"/>
    </xf>
    <xf numFmtId="165" fontId="6" fillId="7" borderId="1" xfId="6" applyNumberFormat="1" applyBorder="1" applyAlignment="1">
      <alignment horizontal="center" vertical="center"/>
    </xf>
    <xf numFmtId="165" fontId="3" fillId="0" borderId="0" xfId="1" applyFont="1" applyAlignment="1">
      <alignment horizontal="center"/>
    </xf>
    <xf numFmtId="165" fontId="5" fillId="2" borderId="2" xfId="1" applyFont="1" applyFill="1" applyBorder="1" applyAlignment="1">
      <alignment horizontal="center" vertical="center"/>
    </xf>
    <xf numFmtId="165" fontId="5" fillId="2" borderId="3" xfId="1" applyFont="1" applyFill="1" applyBorder="1" applyAlignment="1">
      <alignment horizontal="center" vertical="center"/>
    </xf>
    <xf numFmtId="165" fontId="5" fillId="2" borderId="2" xfId="1" applyFont="1" applyFill="1" applyBorder="1" applyAlignment="1">
      <alignment horizontal="center" vertical="center" wrapText="1"/>
    </xf>
    <xf numFmtId="165" fontId="5" fillId="2" borderId="3" xfId="1" applyFont="1" applyFill="1" applyBorder="1" applyAlignment="1">
      <alignment horizontal="center" vertical="center" wrapText="1"/>
    </xf>
    <xf numFmtId="165" fontId="5" fillId="2" borderId="8" xfId="1" applyFont="1" applyFill="1" applyBorder="1" applyAlignment="1">
      <alignment horizontal="center" vertical="center" wrapText="1"/>
    </xf>
    <xf numFmtId="165" fontId="11" fillId="2" borderId="2" xfId="1" applyFont="1" applyFill="1" applyBorder="1" applyAlignment="1">
      <alignment horizontal="center" vertical="center" wrapText="1"/>
    </xf>
    <xf numFmtId="165" fontId="11" fillId="2" borderId="3" xfId="1" applyFont="1" applyFill="1" applyBorder="1" applyAlignment="1">
      <alignment horizontal="center" vertical="center" wrapText="1"/>
    </xf>
    <xf numFmtId="165" fontId="11" fillId="2" borderId="8" xfId="1" applyFont="1" applyFill="1" applyBorder="1" applyAlignment="1">
      <alignment horizontal="center" vertical="center" wrapText="1"/>
    </xf>
    <xf numFmtId="43" fontId="7" fillId="0" borderId="1" xfId="0" applyNumberFormat="1" applyFont="1" applyBorder="1" applyAlignment="1">
      <alignment horizontal="right" vertical="top"/>
    </xf>
    <xf numFmtId="43" fontId="0" fillId="0" borderId="0" xfId="0" applyNumberFormat="1">
      <alignment vertical="center"/>
    </xf>
    <xf numFmtId="0" fontId="5" fillId="5" borderId="4" xfId="0" applyFont="1" applyFill="1" applyBorder="1" applyAlignment="1">
      <alignment vertical="center" wrapText="1"/>
    </xf>
  </cellXfs>
  <cellStyles count="7">
    <cellStyle name="Accent2" xfId="4" builtinId="33"/>
    <cellStyle name="Accent5" xfId="5" builtinId="45"/>
    <cellStyle name="Accent6" xfId="6" builtinId="49"/>
    <cellStyle name="Comma" xfId="1" builtinId="3"/>
    <cellStyle name="Comma [0]" xfId="3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600075</xdr:colOff>
          <xdr:row>0</xdr:row>
          <xdr:rowOff>152400</xdr:rowOff>
        </xdr:from>
        <xdr:to>
          <xdr:col>11</xdr:col>
          <xdr:colOff>790575</xdr:colOff>
          <xdr:row>5</xdr:row>
          <xdr:rowOff>9525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962025</xdr:colOff>
          <xdr:row>0</xdr:row>
          <xdr:rowOff>114300</xdr:rowOff>
        </xdr:from>
        <xdr:to>
          <xdr:col>10</xdr:col>
          <xdr:colOff>0</xdr:colOff>
          <xdr:row>6</xdr:row>
          <xdr:rowOff>9525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971550</xdr:colOff>
          <xdr:row>0</xdr:row>
          <xdr:rowOff>161925</xdr:rowOff>
        </xdr:from>
        <xdr:to>
          <xdr:col>8</xdr:col>
          <xdr:colOff>457200</xdr:colOff>
          <xdr:row>5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600075</xdr:colOff>
          <xdr:row>0</xdr:row>
          <xdr:rowOff>152400</xdr:rowOff>
        </xdr:from>
        <xdr:to>
          <xdr:col>11</xdr:col>
          <xdr:colOff>790575</xdr:colOff>
          <xdr:row>5</xdr:row>
          <xdr:rowOff>9525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723900</xdr:colOff>
          <xdr:row>0</xdr:row>
          <xdr:rowOff>123825</xdr:rowOff>
        </xdr:from>
        <xdr:to>
          <xdr:col>11</xdr:col>
          <xdr:colOff>152400</xdr:colOff>
          <xdr:row>4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0</xdr:row>
          <xdr:rowOff>28575</xdr:rowOff>
        </xdr:from>
        <xdr:to>
          <xdr:col>14</xdr:col>
          <xdr:colOff>266700</xdr:colOff>
          <xdr:row>5</xdr:row>
          <xdr:rowOff>114300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142875</xdr:colOff>
          <xdr:row>0</xdr:row>
          <xdr:rowOff>85725</xdr:rowOff>
        </xdr:from>
        <xdr:to>
          <xdr:col>9</xdr:col>
          <xdr:colOff>504825</xdr:colOff>
          <xdr:row>4</xdr:row>
          <xdr:rowOff>133350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533400</xdr:colOff>
          <xdr:row>0</xdr:row>
          <xdr:rowOff>38100</xdr:rowOff>
        </xdr:from>
        <xdr:to>
          <xdr:col>20</xdr:col>
          <xdr:colOff>323850</xdr:colOff>
          <xdr:row>7</xdr:row>
          <xdr:rowOff>123825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view="pageBreakPreview" topLeftCell="A19" zoomScaleNormal="100" workbookViewId="0">
      <selection activeCell="E38" sqref="E38:E41"/>
    </sheetView>
  </sheetViews>
  <sheetFormatPr defaultColWidth="9.140625" defaultRowHeight="15"/>
  <cols>
    <col min="2" max="2" width="6.140625" customWidth="1"/>
    <col min="3" max="3" width="20.140625" customWidth="1"/>
    <col min="5" max="5" width="14.28515625" customWidth="1"/>
    <col min="6" max="6" width="31.140625" customWidth="1"/>
    <col min="9" max="9" width="18" customWidth="1"/>
  </cols>
  <sheetData>
    <row r="2" spans="1:7">
      <c r="A2" t="s">
        <v>0</v>
      </c>
    </row>
    <row r="6" spans="1:7" ht="15" customHeight="1">
      <c r="B6" s="35" t="s">
        <v>1</v>
      </c>
    </row>
    <row r="8" spans="1:7">
      <c r="B8" s="301" t="s">
        <v>2</v>
      </c>
      <c r="C8" s="301" t="s">
        <v>3</v>
      </c>
      <c r="D8" s="301" t="s">
        <v>4</v>
      </c>
      <c r="E8" s="301" t="s">
        <v>5</v>
      </c>
      <c r="F8" s="301" t="s">
        <v>6</v>
      </c>
      <c r="G8" s="309" t="s">
        <v>7</v>
      </c>
    </row>
    <row r="9" spans="1:7">
      <c r="B9" s="302">
        <v>1</v>
      </c>
      <c r="C9" s="303" t="s">
        <v>8</v>
      </c>
      <c r="D9" s="302" t="s">
        <v>9</v>
      </c>
      <c r="E9" s="310"/>
      <c r="F9" s="101"/>
      <c r="G9" s="114" t="e">
        <f>+F9/E9*100</f>
        <v>#DIV/0!</v>
      </c>
    </row>
    <row r="10" spans="1:7">
      <c r="B10" s="302">
        <v>2</v>
      </c>
      <c r="C10" s="303" t="s">
        <v>10</v>
      </c>
      <c r="D10" s="302" t="s">
        <v>9</v>
      </c>
      <c r="E10" s="310"/>
      <c r="F10" s="311"/>
      <c r="G10" s="114" t="e">
        <f t="shared" ref="G10:G13" si="0">+F10/E10*100</f>
        <v>#DIV/0!</v>
      </c>
    </row>
    <row r="11" spans="1:7">
      <c r="B11" s="302">
        <v>3</v>
      </c>
      <c r="C11" s="303" t="s">
        <v>11</v>
      </c>
      <c r="D11" s="302" t="s">
        <v>9</v>
      </c>
      <c r="E11" s="310"/>
      <c r="F11" s="311"/>
      <c r="G11" s="312" t="e">
        <f t="shared" si="0"/>
        <v>#DIV/0!</v>
      </c>
    </row>
    <row r="12" spans="1:7">
      <c r="B12" s="302">
        <v>4</v>
      </c>
      <c r="C12" s="303" t="s">
        <v>12</v>
      </c>
      <c r="D12" s="302" t="s">
        <v>9</v>
      </c>
      <c r="E12" s="310"/>
      <c r="F12" s="311"/>
      <c r="G12" s="312" t="e">
        <f t="shared" si="0"/>
        <v>#DIV/0!</v>
      </c>
    </row>
    <row r="13" spans="1:7">
      <c r="B13" s="341" t="s">
        <v>13</v>
      </c>
      <c r="C13" s="341"/>
      <c r="D13" s="341"/>
      <c r="E13" s="313">
        <f>SUM(E9:E12)</f>
        <v>0</v>
      </c>
      <c r="F13" s="312">
        <f>SUM(F9:F12)</f>
        <v>0</v>
      </c>
      <c r="G13" s="312" t="e">
        <f t="shared" si="0"/>
        <v>#DIV/0!</v>
      </c>
    </row>
    <row r="20" spans="2:11">
      <c r="B20" s="35" t="s">
        <v>14</v>
      </c>
    </row>
    <row r="22" spans="2:11">
      <c r="B22" s="301" t="s">
        <v>2</v>
      </c>
      <c r="C22" s="301" t="s">
        <v>3</v>
      </c>
      <c r="D22" s="301" t="s">
        <v>4</v>
      </c>
      <c r="E22" s="301" t="s">
        <v>5</v>
      </c>
      <c r="F22" s="301" t="s">
        <v>6</v>
      </c>
      <c r="G22" s="309" t="s">
        <v>7</v>
      </c>
    </row>
    <row r="23" spans="2:11" ht="28.5">
      <c r="B23" s="302">
        <v>1</v>
      </c>
      <c r="C23" s="303" t="s">
        <v>8</v>
      </c>
      <c r="D23" s="302" t="s">
        <v>15</v>
      </c>
      <c r="E23" s="310"/>
      <c r="F23" s="101"/>
      <c r="G23" s="114" t="e">
        <f>+F23/E23*100</f>
        <v>#DIV/0!</v>
      </c>
    </row>
    <row r="24" spans="2:11" ht="28.5">
      <c r="B24" s="302">
        <v>2</v>
      </c>
      <c r="C24" s="303" t="s">
        <v>10</v>
      </c>
      <c r="D24" s="302" t="s">
        <v>15</v>
      </c>
      <c r="E24" s="310"/>
      <c r="F24" s="101"/>
      <c r="G24" s="114" t="e">
        <f t="shared" ref="G24:G27" si="1">+F24/E24*100</f>
        <v>#DIV/0!</v>
      </c>
    </row>
    <row r="25" spans="2:11" ht="28.5">
      <c r="B25" s="302">
        <v>3</v>
      </c>
      <c r="C25" s="303" t="s">
        <v>11</v>
      </c>
      <c r="D25" s="302" t="s">
        <v>15</v>
      </c>
      <c r="E25" s="310"/>
      <c r="F25" s="101"/>
      <c r="G25" s="312" t="e">
        <f t="shared" si="1"/>
        <v>#DIV/0!</v>
      </c>
    </row>
    <row r="26" spans="2:11" ht="28.5">
      <c r="B26" s="302">
        <v>4</v>
      </c>
      <c r="C26" s="303" t="s">
        <v>12</v>
      </c>
      <c r="D26" s="302" t="s">
        <v>15</v>
      </c>
      <c r="E26" s="310"/>
      <c r="F26" s="311"/>
      <c r="G26" s="312" t="e">
        <f t="shared" si="1"/>
        <v>#DIV/0!</v>
      </c>
    </row>
    <row r="27" spans="2:11">
      <c r="B27" s="341" t="s">
        <v>13</v>
      </c>
      <c r="C27" s="341"/>
      <c r="D27" s="341"/>
      <c r="E27" s="310">
        <f>SUM(E23:E26)</f>
        <v>0</v>
      </c>
      <c r="F27" s="312">
        <f>SUM(F23:F26)</f>
        <v>0</v>
      </c>
      <c r="G27" s="312" t="e">
        <f t="shared" si="1"/>
        <v>#DIV/0!</v>
      </c>
    </row>
    <row r="28" spans="2:11">
      <c r="B28" s="307" t="s">
        <v>16</v>
      </c>
    </row>
    <row r="29" spans="2:11">
      <c r="B29" s="307" t="s">
        <v>17</v>
      </c>
    </row>
    <row r="30" spans="2:11">
      <c r="B30" s="342" t="s">
        <v>18</v>
      </c>
      <c r="C30" s="342"/>
      <c r="D30" s="342"/>
      <c r="E30" s="342"/>
      <c r="F30" s="342"/>
    </row>
    <row r="32" spans="2:11">
      <c r="K32">
        <f>'Target &amp; Realisasi'!I26</f>
        <v>0</v>
      </c>
    </row>
    <row r="34" spans="2:9">
      <c r="B34" t="s">
        <v>19</v>
      </c>
    </row>
    <row r="37" spans="2:9">
      <c r="B37" s="301" t="s">
        <v>2</v>
      </c>
      <c r="C37" s="301" t="s">
        <v>3</v>
      </c>
      <c r="D37" s="301" t="s">
        <v>4</v>
      </c>
      <c r="E37" s="301" t="s">
        <v>5</v>
      </c>
      <c r="F37" s="301" t="s">
        <v>6</v>
      </c>
      <c r="G37" s="309" t="s">
        <v>7</v>
      </c>
    </row>
    <row r="38" spans="2:9" ht="28.5">
      <c r="B38" s="302">
        <v>1</v>
      </c>
      <c r="C38" s="303" t="s">
        <v>8</v>
      </c>
      <c r="D38" s="302" t="s">
        <v>15</v>
      </c>
      <c r="E38" s="101"/>
      <c r="F38" s="101">
        <f>SUM(F9+(F23*14350*1000/1000000))</f>
        <v>0</v>
      </c>
      <c r="G38" s="114" t="e">
        <f>+F38/E38*100</f>
        <v>#DIV/0!</v>
      </c>
      <c r="I38" s="6">
        <f>+F23*14350</f>
        <v>0</v>
      </c>
    </row>
    <row r="39" spans="2:9" ht="28.5">
      <c r="B39" s="302">
        <v>2</v>
      </c>
      <c r="C39" s="303" t="s">
        <v>10</v>
      </c>
      <c r="D39" s="302" t="s">
        <v>15</v>
      </c>
      <c r="E39" s="101"/>
      <c r="F39" s="101">
        <f>SUM(F10+(F24*14350*1000/1000000))</f>
        <v>0</v>
      </c>
      <c r="G39" s="114" t="e">
        <f t="shared" ref="G39:G42" si="2">+F39/E39*100</f>
        <v>#DIV/0!</v>
      </c>
      <c r="I39">
        <v>819489.9</v>
      </c>
    </row>
    <row r="40" spans="2:9" ht="28.5">
      <c r="B40" s="302">
        <v>3</v>
      </c>
      <c r="C40" s="303" t="s">
        <v>11</v>
      </c>
      <c r="D40" s="302" t="s">
        <v>15</v>
      </c>
      <c r="E40" s="101"/>
      <c r="F40" s="101">
        <f>SUM(F11+(F25*14350*1000/1000000))</f>
        <v>0</v>
      </c>
      <c r="G40" s="312" t="e">
        <f t="shared" si="2"/>
        <v>#DIV/0!</v>
      </c>
    </row>
    <row r="41" spans="2:9" ht="28.5">
      <c r="B41" s="302">
        <v>4</v>
      </c>
      <c r="C41" s="303" t="s">
        <v>12</v>
      </c>
      <c r="D41" s="302" t="s">
        <v>15</v>
      </c>
      <c r="E41" s="101"/>
      <c r="F41" s="101">
        <f>SUM(F12+(F26*14350*1000/1000000))</f>
        <v>0</v>
      </c>
      <c r="G41" s="312" t="e">
        <f t="shared" si="2"/>
        <v>#DIV/0!</v>
      </c>
    </row>
    <row r="42" spans="2:9">
      <c r="B42" s="341" t="s">
        <v>13</v>
      </c>
      <c r="C42" s="341"/>
      <c r="D42" s="341"/>
      <c r="E42" s="310">
        <f>SUM(E38:E41)</f>
        <v>0</v>
      </c>
      <c r="F42" s="312">
        <f>SUM(F38:F41)</f>
        <v>0</v>
      </c>
      <c r="G42" s="312" t="e">
        <f t="shared" si="2"/>
        <v>#DIV/0!</v>
      </c>
    </row>
  </sheetData>
  <mergeCells count="4">
    <mergeCell ref="B13:D13"/>
    <mergeCell ref="B27:D27"/>
    <mergeCell ref="B30:F30"/>
    <mergeCell ref="B42:D42"/>
  </mergeCells>
  <pageMargins left="0.75" right="0.75" top="1" bottom="1" header="0.5" footer="0.5"/>
  <pageSetup paperSize="9" scale="8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92"/>
  <sheetViews>
    <sheetView view="pageBreakPreview" topLeftCell="A10" zoomScale="85" zoomScaleNormal="100" workbookViewId="0">
      <selection activeCell="AZ38" sqref="AZ38"/>
    </sheetView>
  </sheetViews>
  <sheetFormatPr defaultColWidth="9.140625" defaultRowHeight="15"/>
  <cols>
    <col min="1" max="1" width="4.5703125" customWidth="1"/>
    <col min="2" max="2" width="8.140625" customWidth="1"/>
    <col min="3" max="3" width="20.28515625" customWidth="1"/>
    <col min="4" max="4" width="15.140625" hidden="1" customWidth="1"/>
    <col min="5" max="5" width="11.28515625" hidden="1" customWidth="1"/>
    <col min="6" max="6" width="9.28515625" hidden="1" customWidth="1"/>
    <col min="7" max="7" width="13" hidden="1" customWidth="1"/>
    <col min="8" max="8" width="19.140625" hidden="1" customWidth="1"/>
    <col min="9" max="9" width="12.140625" hidden="1" customWidth="1"/>
    <col min="10" max="10" width="9.28515625" hidden="1" customWidth="1"/>
    <col min="11" max="11" width="10.85546875" hidden="1" customWidth="1"/>
    <col min="12" max="12" width="16.85546875" hidden="1" customWidth="1"/>
    <col min="13" max="13" width="11.28515625" hidden="1" customWidth="1"/>
    <col min="14" max="14" width="10.85546875" hidden="1" customWidth="1"/>
    <col min="15" max="15" width="13.140625" hidden="1" customWidth="1"/>
    <col min="16" max="16" width="13.85546875" hidden="1" customWidth="1"/>
    <col min="17" max="17" width="11.85546875" hidden="1" customWidth="1"/>
    <col min="18" max="19" width="10.7109375" hidden="1" customWidth="1"/>
    <col min="20" max="20" width="16.28515625" hidden="1" customWidth="1"/>
    <col min="21" max="22" width="10.7109375" hidden="1" customWidth="1"/>
    <col min="23" max="23" width="11.28515625" hidden="1" customWidth="1"/>
    <col min="24" max="24" width="14.7109375" hidden="1" customWidth="1"/>
    <col min="25" max="25" width="11.28515625" hidden="1" customWidth="1"/>
    <col min="26" max="26" width="7.140625" hidden="1" customWidth="1"/>
    <col min="27" max="27" width="10.85546875" hidden="1" customWidth="1"/>
    <col min="28" max="28" width="14.7109375" hidden="1" customWidth="1"/>
    <col min="29" max="29" width="11.28515625" hidden="1" customWidth="1"/>
    <col min="30" max="30" width="7.140625" hidden="1" customWidth="1"/>
    <col min="31" max="31" width="11.85546875" hidden="1" customWidth="1"/>
    <col min="32" max="32" width="15.85546875" hidden="1" customWidth="1"/>
    <col min="33" max="33" width="12.42578125" hidden="1" customWidth="1"/>
    <col min="34" max="34" width="9.5703125" hidden="1" customWidth="1"/>
    <col min="35" max="35" width="11" hidden="1" customWidth="1"/>
    <col min="36" max="36" width="17.28515625" customWidth="1"/>
    <col min="37" max="37" width="14" customWidth="1"/>
    <col min="38" max="38" width="10.140625" customWidth="1"/>
    <col min="39" max="39" width="13.7109375" customWidth="1"/>
    <col min="40" max="40" width="12.140625" customWidth="1"/>
    <col min="41" max="41" width="15.85546875" customWidth="1"/>
    <col min="42" max="42" width="17" customWidth="1"/>
    <col min="43" max="43" width="18.140625" customWidth="1"/>
    <col min="44" max="44" width="22.140625" hidden="1" customWidth="1"/>
    <col min="45" max="45" width="11.7109375" hidden="1" customWidth="1"/>
    <col min="46" max="46" width="24.85546875" hidden="1" customWidth="1"/>
    <col min="47" max="47" width="9.140625" hidden="1" customWidth="1"/>
    <col min="48" max="48" width="11" customWidth="1"/>
    <col min="50" max="50" width="12.85546875" customWidth="1"/>
  </cols>
  <sheetData>
    <row r="1" spans="1:49" ht="15" customHeight="1">
      <c r="B1" s="2"/>
      <c r="C1" s="3"/>
      <c r="D1" s="3"/>
      <c r="E1" s="3"/>
      <c r="F1" s="3"/>
      <c r="G1" s="3"/>
      <c r="H1" s="4"/>
      <c r="I1" s="4"/>
      <c r="J1" s="2"/>
      <c r="K1" s="2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9" ht="15" customHeight="1">
      <c r="B2" s="2"/>
      <c r="C2" s="3"/>
      <c r="D2" s="3"/>
      <c r="E2" s="3"/>
      <c r="F2" s="3"/>
      <c r="G2" s="3"/>
      <c r="H2" s="4"/>
      <c r="I2" s="4"/>
      <c r="J2" s="2"/>
      <c r="K2" s="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9" ht="15" customHeight="1">
      <c r="B3" s="2"/>
      <c r="C3" s="3"/>
      <c r="D3" s="3"/>
      <c r="E3" s="3"/>
      <c r="F3" s="3"/>
      <c r="G3" s="3"/>
      <c r="H3" s="4"/>
      <c r="I3" s="4"/>
      <c r="J3" s="2"/>
      <c r="K3" s="2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</row>
    <row r="4" spans="1:49" ht="15" customHeight="1">
      <c r="B4" s="2"/>
      <c r="C4" s="3"/>
      <c r="D4" s="3"/>
      <c r="E4" s="3"/>
      <c r="F4" s="3"/>
      <c r="G4" s="3"/>
      <c r="H4" s="4"/>
      <c r="I4" s="4"/>
      <c r="J4" s="2"/>
      <c r="K4" s="2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5" spans="1:49" ht="15" customHeight="1">
      <c r="B5" s="2"/>
      <c r="C5" s="3"/>
      <c r="D5" s="3"/>
      <c r="E5" s="3"/>
      <c r="F5" s="3"/>
      <c r="G5" s="3"/>
      <c r="H5" s="4"/>
      <c r="I5" s="4"/>
      <c r="J5" s="2"/>
      <c r="K5" s="2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49" ht="15" customHeight="1">
      <c r="B6" s="2"/>
      <c r="C6" s="3"/>
      <c r="D6" s="3"/>
      <c r="E6" s="3"/>
      <c r="F6" s="3"/>
      <c r="G6" s="3"/>
      <c r="H6" s="4"/>
      <c r="I6" s="4"/>
      <c r="J6" s="2"/>
      <c r="K6" s="2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9" ht="15" customHeight="1">
      <c r="B7" s="2"/>
      <c r="C7" s="3"/>
      <c r="D7" s="3"/>
      <c r="E7" s="3"/>
      <c r="F7" s="3"/>
      <c r="G7" s="3"/>
      <c r="H7" s="4"/>
      <c r="I7" s="4"/>
      <c r="J7" s="2"/>
      <c r="K7" s="2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pans="1:49" ht="15" customHeight="1">
      <c r="B8" s="2"/>
      <c r="C8" s="3"/>
      <c r="D8" s="3"/>
      <c r="E8" s="3"/>
      <c r="F8" s="3"/>
      <c r="G8" s="3"/>
      <c r="H8" s="4"/>
      <c r="I8" s="4"/>
      <c r="J8" s="2"/>
      <c r="K8" s="2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</row>
    <row r="9" spans="1:49" ht="18">
      <c r="A9" s="354" t="s">
        <v>33</v>
      </c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354"/>
      <c r="AE9" s="354"/>
      <c r="AF9" s="354"/>
      <c r="AG9" s="354"/>
      <c r="AH9" s="354"/>
      <c r="AI9" s="354"/>
      <c r="AJ9" s="354"/>
      <c r="AK9" s="354"/>
      <c r="AL9" s="354"/>
      <c r="AM9" s="354"/>
      <c r="AN9" s="109"/>
    </row>
    <row r="10" spans="1:49" ht="18">
      <c r="A10" s="354" t="s">
        <v>34</v>
      </c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  <c r="V10" s="354"/>
      <c r="W10" s="354"/>
      <c r="X10" s="354"/>
      <c r="Y10" s="354"/>
      <c r="Z10" s="354"/>
      <c r="AA10" s="354"/>
      <c r="AB10" s="354"/>
      <c r="AC10" s="354"/>
      <c r="AD10" s="354"/>
      <c r="AE10" s="354"/>
      <c r="AF10" s="354"/>
      <c r="AG10" s="354"/>
      <c r="AH10" s="354"/>
      <c r="AI10" s="354"/>
      <c r="AJ10" s="354"/>
      <c r="AK10" s="354"/>
      <c r="AL10" s="354"/>
      <c r="AM10" s="354"/>
      <c r="AN10" s="109"/>
    </row>
    <row r="11" spans="1:49" ht="18">
      <c r="A11" s="393" t="s">
        <v>159</v>
      </c>
      <c r="B11" s="393"/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  <c r="AG11" s="393"/>
      <c r="AH11" s="393"/>
      <c r="AI11" s="393"/>
      <c r="AJ11" s="393"/>
      <c r="AK11" s="393"/>
      <c r="AL11" s="393"/>
      <c r="AM11" s="393"/>
      <c r="AN11" s="109"/>
    </row>
    <row r="12" spans="1:49" ht="18">
      <c r="A12" s="393" t="s">
        <v>0</v>
      </c>
      <c r="B12" s="393"/>
      <c r="C12" s="393"/>
      <c r="D12" s="393"/>
      <c r="E12" s="393"/>
      <c r="F12" s="393"/>
      <c r="G12" s="393"/>
      <c r="H12" s="393"/>
      <c r="I12" s="393"/>
      <c r="J12" s="393"/>
      <c r="K12" s="393"/>
      <c r="L12" s="393"/>
      <c r="M12" s="393"/>
      <c r="N12" s="393"/>
      <c r="O12" s="393"/>
      <c r="P12" s="393"/>
      <c r="Q12" s="393"/>
      <c r="R12" s="393"/>
      <c r="S12" s="393"/>
      <c r="T12" s="393"/>
      <c r="U12" s="393"/>
      <c r="V12" s="393"/>
      <c r="W12" s="393"/>
      <c r="X12" s="393"/>
      <c r="Y12" s="393"/>
      <c r="Z12" s="393"/>
      <c r="AA12" s="393"/>
      <c r="AB12" s="393"/>
      <c r="AC12" s="393"/>
      <c r="AD12" s="393"/>
      <c r="AE12" s="393"/>
      <c r="AF12" s="393"/>
      <c r="AG12" s="393"/>
      <c r="AH12" s="393"/>
      <c r="AI12" s="393"/>
      <c r="AJ12" s="393"/>
      <c r="AK12" s="393"/>
      <c r="AL12" s="393"/>
      <c r="AM12" s="393"/>
      <c r="AN12" s="109"/>
    </row>
    <row r="13" spans="1:49" ht="15.75">
      <c r="A13" s="6"/>
      <c r="B13" s="7" t="s">
        <v>160</v>
      </c>
      <c r="C13" s="8"/>
      <c r="D13" s="8"/>
      <c r="E13" s="8"/>
      <c r="F13" s="8"/>
      <c r="G13" s="8"/>
      <c r="H13" s="8"/>
      <c r="I13" s="8"/>
      <c r="J13" s="8"/>
      <c r="K13" s="8"/>
      <c r="L13" s="7" t="s">
        <v>160</v>
      </c>
      <c r="M13" s="8"/>
      <c r="N13" s="8"/>
      <c r="O13" s="8"/>
      <c r="P13" s="8"/>
      <c r="Q13" s="8"/>
      <c r="R13" s="8"/>
      <c r="S13" s="8"/>
      <c r="T13" s="7"/>
      <c r="U13" s="8"/>
      <c r="V13" s="8"/>
      <c r="W13" s="8"/>
      <c r="X13" s="8"/>
      <c r="Y13" s="8"/>
      <c r="Z13" s="8"/>
      <c r="AA13" s="8"/>
      <c r="AB13" s="7" t="s">
        <v>160</v>
      </c>
      <c r="AC13" s="8"/>
      <c r="AD13" s="8"/>
      <c r="AE13" s="8"/>
      <c r="AF13" s="8"/>
      <c r="AG13" s="8"/>
      <c r="AH13" s="8"/>
      <c r="AI13" s="8"/>
      <c r="AJ13" s="7"/>
      <c r="AK13" s="8"/>
      <c r="AL13" s="8"/>
      <c r="AM13" s="8"/>
      <c r="AR13" s="7" t="s">
        <v>160</v>
      </c>
    </row>
    <row r="14" spans="1:49" ht="15" customHeight="1">
      <c r="A14" s="6"/>
      <c r="B14" s="386" t="s">
        <v>82</v>
      </c>
      <c r="C14" s="386" t="s">
        <v>83</v>
      </c>
      <c r="D14" s="394" t="s">
        <v>39</v>
      </c>
      <c r="E14" s="395"/>
      <c r="F14" s="395"/>
      <c r="G14" s="395"/>
      <c r="H14" s="395"/>
      <c r="I14" s="395"/>
      <c r="J14" s="395"/>
      <c r="K14" s="395"/>
      <c r="L14" s="396" t="s">
        <v>161</v>
      </c>
      <c r="M14" s="397"/>
      <c r="N14" s="397"/>
      <c r="O14" s="397"/>
      <c r="P14" s="397"/>
      <c r="Q14" s="397"/>
      <c r="R14" s="398"/>
      <c r="S14" s="57"/>
      <c r="T14" s="396" t="s">
        <v>162</v>
      </c>
      <c r="U14" s="397"/>
      <c r="V14" s="397"/>
      <c r="W14" s="397"/>
      <c r="X14" s="397"/>
      <c r="Y14" s="397"/>
      <c r="Z14" s="398"/>
      <c r="AA14" s="57"/>
      <c r="AB14" s="399" t="s">
        <v>163</v>
      </c>
      <c r="AC14" s="400"/>
      <c r="AD14" s="400"/>
      <c r="AE14" s="400"/>
      <c r="AF14" s="400"/>
      <c r="AG14" s="400"/>
      <c r="AH14" s="400"/>
      <c r="AI14" s="401"/>
      <c r="AJ14" s="387" t="s">
        <v>43</v>
      </c>
      <c r="AK14" s="388"/>
      <c r="AL14" s="388"/>
      <c r="AM14" s="389"/>
      <c r="AN14" s="387" t="s">
        <v>43</v>
      </c>
      <c r="AO14" s="388"/>
      <c r="AP14" s="388"/>
      <c r="AQ14" s="389"/>
      <c r="AR14" s="387" t="s">
        <v>43</v>
      </c>
      <c r="AS14" s="388"/>
      <c r="AT14" s="388"/>
      <c r="AU14" s="389"/>
    </row>
    <row r="15" spans="1:49" ht="23.1" customHeight="1">
      <c r="A15" s="6"/>
      <c r="B15" s="386"/>
      <c r="C15" s="386"/>
      <c r="D15" s="376" t="s">
        <v>149</v>
      </c>
      <c r="E15" s="390" t="s">
        <v>45</v>
      </c>
      <c r="F15" s="390"/>
      <c r="G15" s="377" t="s">
        <v>164</v>
      </c>
      <c r="H15" s="379" t="s">
        <v>150</v>
      </c>
      <c r="I15" s="391" t="s">
        <v>45</v>
      </c>
      <c r="J15" s="391"/>
      <c r="K15" s="380" t="s">
        <v>165</v>
      </c>
      <c r="L15" s="376" t="s">
        <v>166</v>
      </c>
      <c r="M15" s="390" t="s">
        <v>45</v>
      </c>
      <c r="N15" s="390"/>
      <c r="O15" s="377" t="s">
        <v>165</v>
      </c>
      <c r="P15" s="379" t="s">
        <v>167</v>
      </c>
      <c r="Q15" s="391" t="s">
        <v>45</v>
      </c>
      <c r="R15" s="391"/>
      <c r="S15" s="380" t="s">
        <v>165</v>
      </c>
      <c r="T15" s="376" t="s">
        <v>166</v>
      </c>
      <c r="U15" s="390" t="s">
        <v>45</v>
      </c>
      <c r="V15" s="390"/>
      <c r="W15" s="377" t="s">
        <v>165</v>
      </c>
      <c r="X15" s="379" t="s">
        <v>167</v>
      </c>
      <c r="Y15" s="391" t="s">
        <v>45</v>
      </c>
      <c r="Z15" s="391"/>
      <c r="AA15" s="380" t="s">
        <v>165</v>
      </c>
      <c r="AB15" s="376" t="s">
        <v>166</v>
      </c>
      <c r="AC15" s="390" t="s">
        <v>45</v>
      </c>
      <c r="AD15" s="390"/>
      <c r="AE15" s="377" t="s">
        <v>165</v>
      </c>
      <c r="AF15" s="379" t="s">
        <v>167</v>
      </c>
      <c r="AG15" s="391" t="s">
        <v>45</v>
      </c>
      <c r="AH15" s="391"/>
      <c r="AI15" s="380" t="s">
        <v>165</v>
      </c>
      <c r="AJ15" s="382" t="s">
        <v>168</v>
      </c>
      <c r="AK15" s="392" t="s">
        <v>45</v>
      </c>
      <c r="AL15" s="392"/>
      <c r="AM15" s="371" t="s">
        <v>169</v>
      </c>
      <c r="AN15" s="373" t="s">
        <v>170</v>
      </c>
      <c r="AO15" s="375" t="s">
        <v>171</v>
      </c>
      <c r="AP15" s="375" t="s">
        <v>172</v>
      </c>
      <c r="AQ15" s="375" t="s">
        <v>173</v>
      </c>
      <c r="AR15" s="392" t="s">
        <v>174</v>
      </c>
      <c r="AS15" s="392"/>
      <c r="AT15" s="392" t="s">
        <v>175</v>
      </c>
      <c r="AU15" s="392"/>
    </row>
    <row r="16" spans="1:49" ht="45.75" customHeight="1">
      <c r="A16" s="6"/>
      <c r="B16" s="386"/>
      <c r="C16" s="386"/>
      <c r="D16" s="376"/>
      <c r="E16" s="9" t="s">
        <v>48</v>
      </c>
      <c r="F16" s="9" t="s">
        <v>49</v>
      </c>
      <c r="G16" s="378"/>
      <c r="H16" s="379"/>
      <c r="I16" s="58" t="s">
        <v>48</v>
      </c>
      <c r="J16" s="58" t="s">
        <v>49</v>
      </c>
      <c r="K16" s="381"/>
      <c r="L16" s="376"/>
      <c r="M16" s="9" t="s">
        <v>48</v>
      </c>
      <c r="N16" s="9" t="s">
        <v>49</v>
      </c>
      <c r="O16" s="378"/>
      <c r="P16" s="379"/>
      <c r="Q16" s="58" t="s">
        <v>48</v>
      </c>
      <c r="R16" s="58" t="s">
        <v>49</v>
      </c>
      <c r="S16" s="381"/>
      <c r="T16" s="376"/>
      <c r="U16" s="9" t="s">
        <v>48</v>
      </c>
      <c r="V16" s="9" t="s">
        <v>49</v>
      </c>
      <c r="W16" s="378"/>
      <c r="X16" s="379"/>
      <c r="Y16" s="58" t="s">
        <v>48</v>
      </c>
      <c r="Z16" s="58" t="s">
        <v>49</v>
      </c>
      <c r="AA16" s="381"/>
      <c r="AB16" s="376"/>
      <c r="AC16" s="9" t="s">
        <v>48</v>
      </c>
      <c r="AD16" s="9" t="s">
        <v>49</v>
      </c>
      <c r="AE16" s="378"/>
      <c r="AF16" s="379"/>
      <c r="AG16" s="58" t="s">
        <v>48</v>
      </c>
      <c r="AH16" s="58" t="s">
        <v>49</v>
      </c>
      <c r="AI16" s="381"/>
      <c r="AJ16" s="382"/>
      <c r="AK16" s="111" t="s">
        <v>48</v>
      </c>
      <c r="AL16" s="111" t="s">
        <v>49</v>
      </c>
      <c r="AM16" s="372"/>
      <c r="AN16" s="374"/>
      <c r="AO16" s="375"/>
      <c r="AP16" s="375"/>
      <c r="AQ16" s="375"/>
      <c r="AR16" s="110" t="s">
        <v>48</v>
      </c>
      <c r="AS16" s="110" t="s">
        <v>49</v>
      </c>
      <c r="AT16" s="110" t="s">
        <v>48</v>
      </c>
      <c r="AU16" s="110" t="s">
        <v>49</v>
      </c>
      <c r="AV16" s="123" t="s">
        <v>176</v>
      </c>
      <c r="AW16" s="123" t="s">
        <v>176</v>
      </c>
    </row>
    <row r="17" spans="1:47">
      <c r="A17" s="6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60"/>
      <c r="T17" s="60"/>
      <c r="U17" s="10"/>
      <c r="V17" s="10"/>
      <c r="W17" s="10"/>
      <c r="X17" s="10"/>
      <c r="Y17" s="10"/>
      <c r="Z17" s="10"/>
      <c r="AA17" s="60"/>
      <c r="AB17" s="60"/>
      <c r="AC17" s="10"/>
      <c r="AD17" s="61"/>
      <c r="AE17" s="10"/>
      <c r="AF17" s="10"/>
      <c r="AG17" s="10"/>
      <c r="AH17" s="10"/>
      <c r="AI17" s="112"/>
      <c r="AJ17" s="10"/>
      <c r="AK17" s="10"/>
      <c r="AL17" s="10"/>
      <c r="AM17" s="10"/>
      <c r="AN17" s="113"/>
      <c r="AO17" s="113"/>
      <c r="AP17" s="113"/>
      <c r="AQ17" s="113"/>
      <c r="AR17" s="113"/>
      <c r="AS17" s="113"/>
      <c r="AT17" s="113"/>
      <c r="AU17" s="113"/>
    </row>
    <row r="18" spans="1:47">
      <c r="A18" s="6"/>
      <c r="B18" s="11"/>
      <c r="C18" s="12" t="s">
        <v>86</v>
      </c>
      <c r="D18" s="12"/>
      <c r="E18" s="12"/>
      <c r="F18" s="12"/>
      <c r="G18" s="12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60"/>
      <c r="T18" s="60"/>
      <c r="U18" s="10"/>
      <c r="V18" s="10"/>
      <c r="W18" s="10"/>
      <c r="X18" s="10"/>
      <c r="Y18" s="10"/>
      <c r="Z18" s="10"/>
      <c r="AA18" s="60"/>
      <c r="AB18" s="60"/>
      <c r="AC18" s="10"/>
      <c r="AD18" s="61"/>
      <c r="AE18" s="10"/>
      <c r="AF18" s="10"/>
      <c r="AG18" s="10"/>
      <c r="AH18" s="10"/>
      <c r="AI18" s="112"/>
      <c r="AJ18" s="10"/>
      <c r="AK18" s="10"/>
      <c r="AL18" s="10"/>
      <c r="AM18" s="10"/>
      <c r="AN18" s="113"/>
      <c r="AO18" s="113"/>
      <c r="AP18" s="113"/>
      <c r="AQ18" s="113"/>
      <c r="AR18" s="113"/>
      <c r="AS18" s="113"/>
      <c r="AT18" s="113"/>
      <c r="AU18" s="113"/>
    </row>
    <row r="19" spans="1:47">
      <c r="A19" s="6"/>
      <c r="B19" s="13">
        <v>1</v>
      </c>
      <c r="C19" s="14" t="s">
        <v>87</v>
      </c>
      <c r="D19" s="15">
        <f>28.3*14350*1000/1000000</f>
        <v>406.10500000000002</v>
      </c>
      <c r="E19" s="15">
        <v>0</v>
      </c>
      <c r="F19" s="16">
        <v>0</v>
      </c>
      <c r="G19" s="17">
        <v>20</v>
      </c>
      <c r="H19" s="10">
        <v>518.79999999999995</v>
      </c>
      <c r="I19" s="10">
        <v>0</v>
      </c>
      <c r="J19" s="10">
        <v>0</v>
      </c>
      <c r="K19" s="19">
        <v>5</v>
      </c>
      <c r="L19" s="59"/>
      <c r="M19" s="15"/>
      <c r="N19" s="15"/>
      <c r="O19" s="59"/>
      <c r="P19" s="19">
        <v>26656.5</v>
      </c>
      <c r="Q19" s="19">
        <v>0</v>
      </c>
      <c r="R19" s="19">
        <v>0</v>
      </c>
      <c r="S19" s="59">
        <v>5</v>
      </c>
      <c r="T19" s="68">
        <f>22*14350*1000/1000000</f>
        <v>315.7</v>
      </c>
      <c r="U19" s="19">
        <v>2</v>
      </c>
      <c r="V19" s="19">
        <v>0</v>
      </c>
      <c r="W19" s="68">
        <v>5</v>
      </c>
      <c r="X19" s="68"/>
      <c r="Y19" s="98"/>
      <c r="Z19" s="19"/>
      <c r="AA19" s="59">
        <v>0</v>
      </c>
      <c r="AB19" s="99">
        <f>64.2*14350*1000/1000000</f>
        <v>921.27</v>
      </c>
      <c r="AC19" s="19">
        <v>2</v>
      </c>
      <c r="AD19" s="19">
        <v>0</v>
      </c>
      <c r="AE19" s="19">
        <v>4</v>
      </c>
      <c r="AF19" s="19">
        <v>2200</v>
      </c>
      <c r="AG19" s="19">
        <v>2</v>
      </c>
      <c r="AH19" s="19">
        <v>0</v>
      </c>
      <c r="AI19" s="112">
        <v>2</v>
      </c>
      <c r="AJ19" s="19">
        <f>+D19+H19+L19+P19+T19+X19+AB19+AF19</f>
        <v>31018.375</v>
      </c>
      <c r="AK19" s="19">
        <f>+E19+I19+M19+Q19+U19+Y19+AC19+AG19</f>
        <v>6</v>
      </c>
      <c r="AL19" s="19">
        <f>+F19+J19+N19+R19+V19+Z19+AD19+AH19</f>
        <v>0</v>
      </c>
      <c r="AM19" s="19">
        <f>+G19+K19+O19+W19+AE19+AI19+AA19+S19</f>
        <v>41</v>
      </c>
      <c r="AN19" s="114">
        <f>+G19+O19+W19+AE19</f>
        <v>29</v>
      </c>
      <c r="AO19" s="114">
        <f>+AI19+AA19+S19+K19</f>
        <v>12</v>
      </c>
      <c r="AP19" s="114">
        <f>+AF19+X19+P19+H19</f>
        <v>29375.3</v>
      </c>
      <c r="AQ19" s="114">
        <f>+AB19+T19+L19+D19</f>
        <v>1643.075</v>
      </c>
      <c r="AR19" s="114">
        <f>+AG19+Y19+Q19+I19</f>
        <v>2</v>
      </c>
      <c r="AS19" s="114">
        <f>+AH19+Z19+R19+J19</f>
        <v>0</v>
      </c>
      <c r="AT19" s="114">
        <f>+AC19+U19+M19+E19</f>
        <v>4</v>
      </c>
      <c r="AU19" s="114">
        <f>+AD19+V19+N19+F19</f>
        <v>0</v>
      </c>
    </row>
    <row r="20" spans="1:47">
      <c r="A20" s="6"/>
      <c r="B20" s="13">
        <v>2</v>
      </c>
      <c r="C20" s="14" t="s">
        <v>88</v>
      </c>
      <c r="D20" s="15">
        <f>16.1*14350*1000/1000000</f>
        <v>231.035</v>
      </c>
      <c r="E20" s="15">
        <v>0</v>
      </c>
      <c r="F20" s="16">
        <v>0</v>
      </c>
      <c r="G20" s="17">
        <v>2</v>
      </c>
      <c r="H20" s="18">
        <v>14247</v>
      </c>
      <c r="I20" s="18">
        <v>0</v>
      </c>
      <c r="J20" s="18">
        <v>0</v>
      </c>
      <c r="K20" s="19">
        <v>11</v>
      </c>
      <c r="L20" s="59">
        <f>20.5*14350*1000/1000000</f>
        <v>294.17500000000001</v>
      </c>
      <c r="M20" s="15">
        <v>32</v>
      </c>
      <c r="N20" s="15"/>
      <c r="O20" s="59">
        <v>3</v>
      </c>
      <c r="P20" s="19">
        <v>367.6</v>
      </c>
      <c r="Q20" s="19">
        <v>0</v>
      </c>
      <c r="R20" s="19">
        <v>0</v>
      </c>
      <c r="S20" s="59">
        <v>1</v>
      </c>
      <c r="T20" s="68">
        <f>199.2*14350*1000/1000000</f>
        <v>2858.52</v>
      </c>
      <c r="U20" s="19">
        <v>0</v>
      </c>
      <c r="V20" s="19">
        <v>0</v>
      </c>
      <c r="W20" s="68">
        <v>1</v>
      </c>
      <c r="X20" s="68">
        <v>65108.9</v>
      </c>
      <c r="Y20" s="98">
        <v>36</v>
      </c>
      <c r="Z20" s="19">
        <v>0</v>
      </c>
      <c r="AA20" s="59">
        <v>34</v>
      </c>
      <c r="AB20" s="63">
        <f>0.6*14350*1000/1000000</f>
        <v>8.61</v>
      </c>
      <c r="AC20" s="19">
        <v>0</v>
      </c>
      <c r="AD20" s="19">
        <v>0</v>
      </c>
      <c r="AE20" s="19">
        <v>1</v>
      </c>
      <c r="AF20" s="19">
        <v>75992.100000000006</v>
      </c>
      <c r="AG20" s="19">
        <v>34</v>
      </c>
      <c r="AH20" s="19">
        <v>0</v>
      </c>
      <c r="AI20" s="112">
        <v>10</v>
      </c>
      <c r="AJ20" s="19">
        <f t="shared" ref="AJ20:AJ40" si="0">+D20+H20+L20+P20+T20+X20+AB20+AF20</f>
        <v>159107.94</v>
      </c>
      <c r="AK20" s="19">
        <f t="shared" ref="AK20:AK40" si="1">+E20+I20+M20+Q20+U20+Y20+AC20+AG20</f>
        <v>102</v>
      </c>
      <c r="AL20" s="19">
        <f t="shared" ref="AL20:AL40" si="2">+F20+J20+N20+R20+V20+Z20+AD20+AH20</f>
        <v>0</v>
      </c>
      <c r="AM20" s="19">
        <f t="shared" ref="AM20:AM40" si="3">+G20+K20+O20+W20+AE20+AI20+AA20+S20</f>
        <v>63</v>
      </c>
      <c r="AN20" s="114">
        <f t="shared" ref="AN20:AN40" si="4">+G20+O20+W20+AE20</f>
        <v>7</v>
      </c>
      <c r="AO20" s="114">
        <f t="shared" ref="AO20:AO39" si="5">+AI20+AA20+S20+K20</f>
        <v>56</v>
      </c>
      <c r="AP20" s="114">
        <f t="shared" ref="AP20:AP40" si="6">+AF20+X20+P20+H20</f>
        <v>155715.6</v>
      </c>
      <c r="AQ20" s="114">
        <f t="shared" ref="AQ20:AQ40" si="7">+AB20+T20+L20+D20</f>
        <v>3392.34</v>
      </c>
      <c r="AR20" s="114">
        <f t="shared" ref="AR20:AR40" si="8">+AG20+Y20+Q20+I20</f>
        <v>70</v>
      </c>
      <c r="AS20" s="114">
        <f t="shared" ref="AS20:AS40" si="9">+AH20+Z20+R20+J20</f>
        <v>0</v>
      </c>
      <c r="AT20" s="114">
        <f t="shared" ref="AT20:AT40" si="10">+AC20+U20+M20+E20</f>
        <v>32</v>
      </c>
      <c r="AU20" s="114">
        <f t="shared" ref="AU20:AU40" si="11">+AD20+V20+N20+F20</f>
        <v>0</v>
      </c>
    </row>
    <row r="21" spans="1:47">
      <c r="A21" s="6"/>
      <c r="B21" s="13">
        <v>3</v>
      </c>
      <c r="C21" s="14" t="s">
        <v>89</v>
      </c>
      <c r="D21" s="15">
        <f>126.2*14350*1000/1000000</f>
        <v>1810.97</v>
      </c>
      <c r="E21" s="15">
        <v>0</v>
      </c>
      <c r="F21" s="16">
        <v>0</v>
      </c>
      <c r="G21" s="17">
        <v>1</v>
      </c>
      <c r="H21" s="18">
        <v>18152.8</v>
      </c>
      <c r="I21" s="18">
        <v>381</v>
      </c>
      <c r="J21" s="18">
        <v>15</v>
      </c>
      <c r="K21" s="19">
        <v>30</v>
      </c>
      <c r="L21" s="59">
        <f>681.3*14350*1000/1000000</f>
        <v>9776.6550000000007</v>
      </c>
      <c r="M21" s="15">
        <v>7</v>
      </c>
      <c r="N21" s="15"/>
      <c r="O21" s="59">
        <v>3</v>
      </c>
      <c r="P21" s="19">
        <v>34728.300000000003</v>
      </c>
      <c r="Q21" s="19">
        <v>53</v>
      </c>
      <c r="R21" s="19">
        <v>0</v>
      </c>
      <c r="S21" s="59">
        <v>8</v>
      </c>
      <c r="T21" s="68">
        <f>304.5*14350*1000/1000000</f>
        <v>4369.5749999999998</v>
      </c>
      <c r="U21" s="19">
        <v>0</v>
      </c>
      <c r="V21" s="19">
        <v>0</v>
      </c>
      <c r="W21" s="68">
        <v>2</v>
      </c>
      <c r="X21" s="68">
        <v>3708.1</v>
      </c>
      <c r="Y21" s="98">
        <v>6</v>
      </c>
      <c r="Z21" s="19">
        <v>0</v>
      </c>
      <c r="AA21" s="59">
        <v>93</v>
      </c>
      <c r="AB21" s="63">
        <f>1101.1*14350*1000/1000000</f>
        <v>15800.785</v>
      </c>
      <c r="AC21" s="19">
        <v>0</v>
      </c>
      <c r="AD21" s="19">
        <v>0</v>
      </c>
      <c r="AE21" s="19">
        <v>1</v>
      </c>
      <c r="AF21" s="19">
        <v>31056.7</v>
      </c>
      <c r="AG21" s="19">
        <v>2</v>
      </c>
      <c r="AH21" s="19">
        <v>0</v>
      </c>
      <c r="AI21" s="112">
        <v>7</v>
      </c>
      <c r="AJ21" s="19">
        <f t="shared" si="0"/>
        <v>119403.88499999999</v>
      </c>
      <c r="AK21" s="19">
        <f t="shared" si="1"/>
        <v>449</v>
      </c>
      <c r="AL21" s="19">
        <f t="shared" si="2"/>
        <v>15</v>
      </c>
      <c r="AM21" s="19">
        <f t="shared" si="3"/>
        <v>145</v>
      </c>
      <c r="AN21" s="114">
        <f t="shared" si="4"/>
        <v>7</v>
      </c>
      <c r="AO21" s="114">
        <f t="shared" si="5"/>
        <v>138</v>
      </c>
      <c r="AP21" s="114">
        <f t="shared" si="6"/>
        <v>87645.9</v>
      </c>
      <c r="AQ21" s="114">
        <f t="shared" si="7"/>
        <v>31757.985000000001</v>
      </c>
      <c r="AR21" s="114">
        <f t="shared" si="8"/>
        <v>442</v>
      </c>
      <c r="AS21" s="114">
        <f t="shared" si="9"/>
        <v>15</v>
      </c>
      <c r="AT21" s="114">
        <f t="shared" si="10"/>
        <v>7</v>
      </c>
      <c r="AU21" s="114">
        <f t="shared" si="11"/>
        <v>0</v>
      </c>
    </row>
    <row r="22" spans="1:47">
      <c r="A22" s="6"/>
      <c r="B22" s="13">
        <v>4</v>
      </c>
      <c r="C22" s="14" t="s">
        <v>90</v>
      </c>
      <c r="D22" s="15">
        <v>0</v>
      </c>
      <c r="E22" s="15">
        <v>0</v>
      </c>
      <c r="F22" s="16">
        <v>0</v>
      </c>
      <c r="G22" s="17">
        <v>0</v>
      </c>
      <c r="H22" s="18">
        <v>16878.599999999999</v>
      </c>
      <c r="I22" s="18">
        <v>19</v>
      </c>
      <c r="J22" s="18">
        <v>2</v>
      </c>
      <c r="K22" s="19">
        <v>20</v>
      </c>
      <c r="L22" s="15">
        <f>1279.7*14350*1000/1000000</f>
        <v>18363.695</v>
      </c>
      <c r="M22" s="15">
        <v>0</v>
      </c>
      <c r="N22" s="15">
        <v>0</v>
      </c>
      <c r="O22" s="59">
        <v>1</v>
      </c>
      <c r="P22" s="19">
        <v>15482.4</v>
      </c>
      <c r="Q22" s="19">
        <v>22</v>
      </c>
      <c r="R22" s="19">
        <v>0</v>
      </c>
      <c r="S22" s="59">
        <v>6</v>
      </c>
      <c r="T22" s="68">
        <v>0</v>
      </c>
      <c r="U22" s="19">
        <v>0</v>
      </c>
      <c r="V22" s="19">
        <v>0</v>
      </c>
      <c r="W22" s="68">
        <v>0</v>
      </c>
      <c r="X22" s="68">
        <v>50409.9</v>
      </c>
      <c r="Y22" s="98">
        <v>88</v>
      </c>
      <c r="Z22" s="19">
        <v>0</v>
      </c>
      <c r="AA22" s="59">
        <v>15</v>
      </c>
      <c r="AB22" s="63"/>
      <c r="AC22" s="19"/>
      <c r="AD22" s="19"/>
      <c r="AE22" s="19">
        <v>0</v>
      </c>
      <c r="AF22" s="19">
        <v>56531.4</v>
      </c>
      <c r="AG22" s="19">
        <v>66</v>
      </c>
      <c r="AH22" s="19">
        <v>0</v>
      </c>
      <c r="AI22" s="112">
        <v>19</v>
      </c>
      <c r="AJ22" s="19">
        <f t="shared" si="0"/>
        <v>157665.995</v>
      </c>
      <c r="AK22" s="19">
        <f t="shared" si="1"/>
        <v>195</v>
      </c>
      <c r="AL22" s="19">
        <f t="shared" si="2"/>
        <v>2</v>
      </c>
      <c r="AM22" s="19">
        <f t="shared" si="3"/>
        <v>61</v>
      </c>
      <c r="AN22" s="114">
        <f t="shared" si="4"/>
        <v>1</v>
      </c>
      <c r="AO22" s="114">
        <f t="shared" si="5"/>
        <v>60</v>
      </c>
      <c r="AP22" s="114">
        <f t="shared" si="6"/>
        <v>139302.29999999999</v>
      </c>
      <c r="AQ22" s="114">
        <f t="shared" si="7"/>
        <v>18363.695</v>
      </c>
      <c r="AR22" s="114">
        <f t="shared" si="8"/>
        <v>195</v>
      </c>
      <c r="AS22" s="114">
        <f t="shared" si="9"/>
        <v>2</v>
      </c>
      <c r="AT22" s="114">
        <f t="shared" si="10"/>
        <v>0</v>
      </c>
      <c r="AU22" s="114">
        <f t="shared" si="11"/>
        <v>0</v>
      </c>
    </row>
    <row r="23" spans="1:47">
      <c r="A23" s="6"/>
      <c r="B23" s="13">
        <v>5</v>
      </c>
      <c r="C23" s="14" t="s">
        <v>91</v>
      </c>
      <c r="D23" s="15">
        <f>39.3*14350*1000/1000000</f>
        <v>563.95500000000004</v>
      </c>
      <c r="E23" s="15">
        <v>0</v>
      </c>
      <c r="F23" s="16">
        <v>0</v>
      </c>
      <c r="G23" s="17">
        <v>1</v>
      </c>
      <c r="H23" s="18">
        <v>4643.8999999999996</v>
      </c>
      <c r="I23" s="18">
        <v>41</v>
      </c>
      <c r="J23" s="18">
        <v>0</v>
      </c>
      <c r="K23" s="19">
        <v>25</v>
      </c>
      <c r="L23" s="15"/>
      <c r="M23" s="15"/>
      <c r="N23" s="15"/>
      <c r="O23" s="59">
        <v>0</v>
      </c>
      <c r="P23" s="19">
        <v>415.2</v>
      </c>
      <c r="Q23" s="19">
        <v>0</v>
      </c>
      <c r="R23" s="19">
        <v>0</v>
      </c>
      <c r="S23" s="59">
        <v>6</v>
      </c>
      <c r="T23" s="68">
        <v>0</v>
      </c>
      <c r="U23" s="19">
        <v>0</v>
      </c>
      <c r="V23" s="19">
        <v>0</v>
      </c>
      <c r="W23" s="68">
        <v>0</v>
      </c>
      <c r="X23" s="68">
        <v>3487.3</v>
      </c>
      <c r="Y23" s="98">
        <v>6</v>
      </c>
      <c r="Z23" s="19">
        <v>0</v>
      </c>
      <c r="AA23" s="59">
        <v>8</v>
      </c>
      <c r="AB23" s="66"/>
      <c r="AC23" s="19"/>
      <c r="AD23" s="19"/>
      <c r="AE23" s="19">
        <v>0</v>
      </c>
      <c r="AF23" s="19">
        <v>3013.6</v>
      </c>
      <c r="AG23" s="19">
        <v>7</v>
      </c>
      <c r="AH23" s="19">
        <v>0</v>
      </c>
      <c r="AI23" s="112">
        <v>5</v>
      </c>
      <c r="AJ23" s="19">
        <f t="shared" si="0"/>
        <v>12123.955</v>
      </c>
      <c r="AK23" s="19">
        <f t="shared" si="1"/>
        <v>54</v>
      </c>
      <c r="AL23" s="19">
        <f t="shared" si="2"/>
        <v>0</v>
      </c>
      <c r="AM23" s="19">
        <f t="shared" si="3"/>
        <v>45</v>
      </c>
      <c r="AN23" s="114">
        <f t="shared" si="4"/>
        <v>1</v>
      </c>
      <c r="AO23" s="114">
        <f t="shared" si="5"/>
        <v>44</v>
      </c>
      <c r="AP23" s="114">
        <f t="shared" si="6"/>
        <v>11560</v>
      </c>
      <c r="AQ23" s="114">
        <f t="shared" si="7"/>
        <v>563.95500000000004</v>
      </c>
      <c r="AR23" s="114">
        <f t="shared" si="8"/>
        <v>54</v>
      </c>
      <c r="AS23" s="114">
        <f t="shared" si="9"/>
        <v>0</v>
      </c>
      <c r="AT23" s="114">
        <f t="shared" si="10"/>
        <v>0</v>
      </c>
      <c r="AU23" s="114">
        <f t="shared" si="11"/>
        <v>0</v>
      </c>
    </row>
    <row r="24" spans="1:47">
      <c r="A24" s="6"/>
      <c r="B24" s="13">
        <v>6</v>
      </c>
      <c r="C24" s="14" t="s">
        <v>92</v>
      </c>
      <c r="D24" s="15">
        <f>61.1*14350*1000/1000000</f>
        <v>876.78499999999997</v>
      </c>
      <c r="E24" s="15">
        <v>2</v>
      </c>
      <c r="F24" s="16">
        <v>0</v>
      </c>
      <c r="G24" s="17">
        <v>2</v>
      </c>
      <c r="H24" s="18">
        <v>23760.6</v>
      </c>
      <c r="I24" s="18">
        <v>0</v>
      </c>
      <c r="J24" s="18">
        <v>0</v>
      </c>
      <c r="K24" s="19">
        <v>4</v>
      </c>
      <c r="L24" s="59">
        <f>13.9*14350*1000/1000000</f>
        <v>199.465</v>
      </c>
      <c r="M24" s="19">
        <v>3</v>
      </c>
      <c r="N24" s="20">
        <v>0</v>
      </c>
      <c r="O24" s="59">
        <v>1</v>
      </c>
      <c r="P24" s="19">
        <v>16613</v>
      </c>
      <c r="Q24" s="19">
        <v>73</v>
      </c>
      <c r="R24" s="19"/>
      <c r="S24" s="59">
        <v>7</v>
      </c>
      <c r="T24" s="68">
        <f>74.4*14350*1000/1000000</f>
        <v>1067.6400000000001</v>
      </c>
      <c r="U24" s="19">
        <v>0</v>
      </c>
      <c r="V24" s="19">
        <v>0</v>
      </c>
      <c r="W24" s="68">
        <v>5</v>
      </c>
      <c r="X24" s="68">
        <v>274579.8</v>
      </c>
      <c r="Y24" s="98">
        <v>88</v>
      </c>
      <c r="Z24" s="19">
        <v>0</v>
      </c>
      <c r="AA24" s="59">
        <v>3</v>
      </c>
      <c r="AB24" s="63">
        <f>6*14350*1000/1000000</f>
        <v>86.1</v>
      </c>
      <c r="AC24" s="19"/>
      <c r="AD24" s="19"/>
      <c r="AE24" s="19">
        <v>1</v>
      </c>
      <c r="AF24" s="19">
        <v>29312.799999999999</v>
      </c>
      <c r="AG24" s="19">
        <v>143</v>
      </c>
      <c r="AH24" s="19">
        <v>0</v>
      </c>
      <c r="AI24" s="112">
        <v>14</v>
      </c>
      <c r="AJ24" s="19">
        <f t="shared" si="0"/>
        <v>346496.19</v>
      </c>
      <c r="AK24" s="19">
        <f t="shared" si="1"/>
        <v>309</v>
      </c>
      <c r="AL24" s="19">
        <f t="shared" si="2"/>
        <v>0</v>
      </c>
      <c r="AM24" s="19">
        <f t="shared" si="3"/>
        <v>37</v>
      </c>
      <c r="AN24" s="114">
        <f t="shared" si="4"/>
        <v>9</v>
      </c>
      <c r="AO24" s="114">
        <f t="shared" si="5"/>
        <v>28</v>
      </c>
      <c r="AP24" s="114">
        <f t="shared" si="6"/>
        <v>344266.2</v>
      </c>
      <c r="AQ24" s="114">
        <f t="shared" si="7"/>
        <v>2229.9899999999998</v>
      </c>
      <c r="AR24" s="114">
        <f t="shared" si="8"/>
        <v>304</v>
      </c>
      <c r="AS24" s="114">
        <f t="shared" si="9"/>
        <v>0</v>
      </c>
      <c r="AT24" s="114">
        <f t="shared" si="10"/>
        <v>5</v>
      </c>
      <c r="AU24" s="114">
        <f t="shared" si="11"/>
        <v>0</v>
      </c>
    </row>
    <row r="25" spans="1:47">
      <c r="A25" s="6"/>
      <c r="B25" s="13">
        <v>7</v>
      </c>
      <c r="C25" s="14" t="s">
        <v>93</v>
      </c>
      <c r="D25" s="15">
        <f>536.3*14350*1000/1000000</f>
        <v>7695.9049999999997</v>
      </c>
      <c r="E25" s="15">
        <v>0</v>
      </c>
      <c r="F25" s="16">
        <v>0</v>
      </c>
      <c r="G25" s="17">
        <v>4</v>
      </c>
      <c r="H25" s="18">
        <v>3384.7</v>
      </c>
      <c r="I25" s="18">
        <v>22</v>
      </c>
      <c r="J25" s="18">
        <v>0</v>
      </c>
      <c r="K25" s="19">
        <v>8</v>
      </c>
      <c r="L25" s="59">
        <f>139.5*14350*1000/1000000</f>
        <v>2001.825</v>
      </c>
      <c r="M25" s="15">
        <v>0</v>
      </c>
      <c r="N25" s="15">
        <v>0</v>
      </c>
      <c r="O25" s="59">
        <v>1</v>
      </c>
      <c r="P25" s="19">
        <v>12177.5</v>
      </c>
      <c r="Q25" s="19">
        <v>0</v>
      </c>
      <c r="R25" s="19">
        <v>0</v>
      </c>
      <c r="S25" s="59">
        <v>6</v>
      </c>
      <c r="T25" s="68">
        <f>227.5*14350*1000/1000000</f>
        <v>3264.625</v>
      </c>
      <c r="U25" s="19">
        <v>0</v>
      </c>
      <c r="V25" s="19">
        <v>0</v>
      </c>
      <c r="W25" s="68">
        <v>4</v>
      </c>
      <c r="X25" s="68">
        <v>52067.8</v>
      </c>
      <c r="Y25" s="98">
        <v>44</v>
      </c>
      <c r="Z25" s="19">
        <v>0</v>
      </c>
      <c r="AA25" s="59">
        <v>19</v>
      </c>
      <c r="AB25" s="63">
        <f>307.2*14350*1000/1000000</f>
        <v>4408.32</v>
      </c>
      <c r="AC25" s="19">
        <v>40</v>
      </c>
      <c r="AD25" s="20"/>
      <c r="AE25" s="19">
        <v>3</v>
      </c>
      <c r="AF25" s="19">
        <v>15868.8</v>
      </c>
      <c r="AG25" s="19">
        <v>33</v>
      </c>
      <c r="AH25" s="19">
        <v>0</v>
      </c>
      <c r="AI25" s="112">
        <v>5</v>
      </c>
      <c r="AJ25" s="19">
        <f t="shared" si="0"/>
        <v>100869.47500000001</v>
      </c>
      <c r="AK25" s="19">
        <f t="shared" si="1"/>
        <v>139</v>
      </c>
      <c r="AL25" s="19">
        <f t="shared" si="2"/>
        <v>0</v>
      </c>
      <c r="AM25" s="19">
        <f t="shared" si="3"/>
        <v>50</v>
      </c>
      <c r="AN25" s="114">
        <f t="shared" si="4"/>
        <v>12</v>
      </c>
      <c r="AO25" s="114">
        <f t="shared" si="5"/>
        <v>38</v>
      </c>
      <c r="AP25" s="114">
        <f t="shared" si="6"/>
        <v>83498.8</v>
      </c>
      <c r="AQ25" s="114">
        <f t="shared" si="7"/>
        <v>17370.674999999999</v>
      </c>
      <c r="AR25" s="114">
        <f t="shared" si="8"/>
        <v>99</v>
      </c>
      <c r="AS25" s="114">
        <f t="shared" si="9"/>
        <v>0</v>
      </c>
      <c r="AT25" s="114">
        <f t="shared" si="10"/>
        <v>40</v>
      </c>
      <c r="AU25" s="114">
        <f t="shared" si="11"/>
        <v>0</v>
      </c>
    </row>
    <row r="26" spans="1:47">
      <c r="A26" s="6"/>
      <c r="B26" s="13">
        <v>8</v>
      </c>
      <c r="C26" s="14" t="s">
        <v>94</v>
      </c>
      <c r="D26" s="15">
        <f>0.2*14350*1000/1000000</f>
        <v>2.87</v>
      </c>
      <c r="E26" s="15">
        <v>0</v>
      </c>
      <c r="F26" s="16">
        <v>0</v>
      </c>
      <c r="G26" s="17">
        <v>1</v>
      </c>
      <c r="H26" s="18">
        <v>77886.7</v>
      </c>
      <c r="I26" s="18">
        <v>42</v>
      </c>
      <c r="J26" s="18">
        <v>0</v>
      </c>
      <c r="K26" s="19">
        <v>23</v>
      </c>
      <c r="L26" s="59">
        <f>497.2*14350*1000/1000000</f>
        <v>7134.82</v>
      </c>
      <c r="M26" s="15">
        <v>0</v>
      </c>
      <c r="N26" s="15">
        <v>2</v>
      </c>
      <c r="O26" s="59">
        <v>4</v>
      </c>
      <c r="P26" s="19">
        <v>1040.3</v>
      </c>
      <c r="Q26" s="19">
        <v>3</v>
      </c>
      <c r="R26" s="19">
        <v>0</v>
      </c>
      <c r="S26" s="59">
        <v>2</v>
      </c>
      <c r="T26" s="68">
        <f>102.1*14350*1000/1000000</f>
        <v>1465.135</v>
      </c>
      <c r="U26" s="19">
        <v>0</v>
      </c>
      <c r="V26" s="19">
        <v>0</v>
      </c>
      <c r="W26" s="68">
        <v>2</v>
      </c>
      <c r="X26" s="68">
        <v>123266</v>
      </c>
      <c r="Y26" s="98">
        <v>51</v>
      </c>
      <c r="Z26" s="19">
        <v>0</v>
      </c>
      <c r="AA26" s="59">
        <v>61</v>
      </c>
      <c r="AB26" s="99">
        <f>1.7*14350*1000/1000000</f>
        <v>24.395</v>
      </c>
      <c r="AC26" s="19"/>
      <c r="AD26" s="19"/>
      <c r="AE26" s="19">
        <v>1</v>
      </c>
      <c r="AF26" s="19">
        <v>80501.899999999994</v>
      </c>
      <c r="AG26" s="19">
        <v>258</v>
      </c>
      <c r="AH26" s="19">
        <v>0</v>
      </c>
      <c r="AI26" s="112">
        <v>29</v>
      </c>
      <c r="AJ26" s="19">
        <f t="shared" si="0"/>
        <v>291322.12</v>
      </c>
      <c r="AK26" s="19">
        <f t="shared" si="1"/>
        <v>354</v>
      </c>
      <c r="AL26" s="19">
        <f t="shared" si="2"/>
        <v>2</v>
      </c>
      <c r="AM26" s="19">
        <f t="shared" si="3"/>
        <v>123</v>
      </c>
      <c r="AN26" s="114">
        <f t="shared" si="4"/>
        <v>8</v>
      </c>
      <c r="AO26" s="114">
        <f t="shared" si="5"/>
        <v>115</v>
      </c>
      <c r="AP26" s="114">
        <f t="shared" si="6"/>
        <v>282694.90000000002</v>
      </c>
      <c r="AQ26" s="114">
        <f t="shared" si="7"/>
        <v>8627.2199999999993</v>
      </c>
      <c r="AR26" s="114">
        <f t="shared" si="8"/>
        <v>354</v>
      </c>
      <c r="AS26" s="114">
        <f t="shared" si="9"/>
        <v>0</v>
      </c>
      <c r="AT26" s="114">
        <f t="shared" si="10"/>
        <v>0</v>
      </c>
      <c r="AU26" s="114">
        <f t="shared" si="11"/>
        <v>2</v>
      </c>
    </row>
    <row r="27" spans="1:47">
      <c r="A27" s="6"/>
      <c r="B27" s="13">
        <v>9</v>
      </c>
      <c r="C27" s="14" t="s">
        <v>95</v>
      </c>
      <c r="D27" s="15">
        <f>125.4*14350*1000/1000000</f>
        <v>1799.49</v>
      </c>
      <c r="E27" s="15">
        <v>0</v>
      </c>
      <c r="F27" s="16">
        <v>0</v>
      </c>
      <c r="G27" s="17">
        <v>1</v>
      </c>
      <c r="H27" s="18">
        <v>400</v>
      </c>
      <c r="I27" s="18">
        <v>20</v>
      </c>
      <c r="J27" s="18">
        <v>0</v>
      </c>
      <c r="K27" s="19">
        <v>2</v>
      </c>
      <c r="L27" s="59">
        <f>86*14350*1000/1000000</f>
        <v>1234.0999999999999</v>
      </c>
      <c r="M27" s="15">
        <v>0</v>
      </c>
      <c r="N27" s="15">
        <v>0</v>
      </c>
      <c r="O27" s="59">
        <v>1</v>
      </c>
      <c r="P27" s="19">
        <v>4555</v>
      </c>
      <c r="Q27" s="19">
        <v>66</v>
      </c>
      <c r="R27" s="19">
        <v>5</v>
      </c>
      <c r="S27" s="59">
        <v>13</v>
      </c>
      <c r="T27" s="68">
        <v>0</v>
      </c>
      <c r="U27" s="19">
        <v>0</v>
      </c>
      <c r="V27" s="19">
        <v>0</v>
      </c>
      <c r="W27" s="68">
        <v>0</v>
      </c>
      <c r="X27" s="68">
        <v>16710</v>
      </c>
      <c r="Y27" s="98">
        <v>2</v>
      </c>
      <c r="Z27" s="19">
        <v>0</v>
      </c>
      <c r="AA27" s="59">
        <v>38</v>
      </c>
      <c r="AB27" s="99"/>
      <c r="AC27" s="19"/>
      <c r="AD27" s="19"/>
      <c r="AE27" s="19">
        <v>0</v>
      </c>
      <c r="AF27" s="19">
        <v>1924</v>
      </c>
      <c r="AG27" s="19">
        <v>28</v>
      </c>
      <c r="AH27" s="19">
        <v>0</v>
      </c>
      <c r="AI27" s="112">
        <v>5</v>
      </c>
      <c r="AJ27" s="19">
        <f t="shared" si="0"/>
        <v>26622.59</v>
      </c>
      <c r="AK27" s="19">
        <f t="shared" si="1"/>
        <v>116</v>
      </c>
      <c r="AL27" s="19">
        <f t="shared" si="2"/>
        <v>5</v>
      </c>
      <c r="AM27" s="19">
        <f t="shared" si="3"/>
        <v>60</v>
      </c>
      <c r="AN27" s="114">
        <f t="shared" si="4"/>
        <v>2</v>
      </c>
      <c r="AO27" s="114">
        <f t="shared" si="5"/>
        <v>58</v>
      </c>
      <c r="AP27" s="114">
        <f t="shared" si="6"/>
        <v>23589</v>
      </c>
      <c r="AQ27" s="114">
        <f t="shared" si="7"/>
        <v>3033.59</v>
      </c>
      <c r="AR27" s="114">
        <f t="shared" si="8"/>
        <v>116</v>
      </c>
      <c r="AS27" s="114">
        <f t="shared" si="9"/>
        <v>5</v>
      </c>
      <c r="AT27" s="114">
        <f t="shared" si="10"/>
        <v>0</v>
      </c>
      <c r="AU27" s="114">
        <f t="shared" si="11"/>
        <v>0</v>
      </c>
    </row>
    <row r="28" spans="1:47">
      <c r="A28" s="6"/>
      <c r="B28" s="13">
        <v>10</v>
      </c>
      <c r="C28" s="14" t="s">
        <v>98</v>
      </c>
      <c r="D28" s="15">
        <f>2204.6*14350*1000/1000000</f>
        <v>31636.01</v>
      </c>
      <c r="E28" s="15">
        <v>14</v>
      </c>
      <c r="F28" s="16">
        <v>1</v>
      </c>
      <c r="G28" s="17">
        <v>3</v>
      </c>
      <c r="H28" s="18">
        <v>106380.3</v>
      </c>
      <c r="I28" s="18">
        <v>1</v>
      </c>
      <c r="J28" s="18">
        <v>0</v>
      </c>
      <c r="K28" s="19">
        <v>8</v>
      </c>
      <c r="L28" s="59">
        <f>2507.2*14350*1000/1000000</f>
        <v>35978.32</v>
      </c>
      <c r="M28" s="15">
        <v>98</v>
      </c>
      <c r="N28" s="15"/>
      <c r="O28" s="59">
        <v>4</v>
      </c>
      <c r="P28" s="19">
        <v>47850.5</v>
      </c>
      <c r="Q28" s="19">
        <v>68</v>
      </c>
      <c r="R28" s="19"/>
      <c r="S28" s="59">
        <v>9</v>
      </c>
      <c r="T28" s="68">
        <f>3033.5*14350*1000/1000000</f>
        <v>43530.724999999999</v>
      </c>
      <c r="U28" s="19">
        <v>0</v>
      </c>
      <c r="V28" s="19">
        <v>0</v>
      </c>
      <c r="W28" s="68">
        <v>3</v>
      </c>
      <c r="X28" s="68">
        <v>42668.4</v>
      </c>
      <c r="Y28" s="98">
        <v>84</v>
      </c>
      <c r="Z28" s="19">
        <v>0</v>
      </c>
      <c r="AA28" s="59">
        <v>23</v>
      </c>
      <c r="AB28" s="59">
        <f>368.4*14350*1000/1000000</f>
        <v>5286.54</v>
      </c>
      <c r="AC28" s="19">
        <v>38</v>
      </c>
      <c r="AD28" s="19"/>
      <c r="AE28" s="19">
        <v>3</v>
      </c>
      <c r="AF28" s="19">
        <v>46954</v>
      </c>
      <c r="AG28" s="19">
        <v>135</v>
      </c>
      <c r="AH28" s="19">
        <v>0</v>
      </c>
      <c r="AI28" s="112">
        <v>14</v>
      </c>
      <c r="AJ28" s="19">
        <f t="shared" si="0"/>
        <v>360284.79499999998</v>
      </c>
      <c r="AK28" s="19">
        <f t="shared" si="1"/>
        <v>438</v>
      </c>
      <c r="AL28" s="19">
        <f t="shared" si="2"/>
        <v>1</v>
      </c>
      <c r="AM28" s="19">
        <f t="shared" si="3"/>
        <v>67</v>
      </c>
      <c r="AN28" s="114">
        <f t="shared" si="4"/>
        <v>13</v>
      </c>
      <c r="AO28" s="114">
        <f t="shared" si="5"/>
        <v>54</v>
      </c>
      <c r="AP28" s="114">
        <f t="shared" si="6"/>
        <v>243853.2</v>
      </c>
      <c r="AQ28" s="114">
        <f t="shared" si="7"/>
        <v>116431.595</v>
      </c>
      <c r="AR28" s="114">
        <f t="shared" si="8"/>
        <v>288</v>
      </c>
      <c r="AS28" s="114">
        <f t="shared" si="9"/>
        <v>0</v>
      </c>
      <c r="AT28" s="114">
        <f t="shared" si="10"/>
        <v>150</v>
      </c>
      <c r="AU28" s="114">
        <f t="shared" si="11"/>
        <v>1</v>
      </c>
    </row>
    <row r="29" spans="1:47">
      <c r="A29" s="6"/>
      <c r="B29" s="13">
        <v>11</v>
      </c>
      <c r="C29" s="14" t="s">
        <v>101</v>
      </c>
      <c r="D29" s="15">
        <f>337.7*14350*1000/1000000</f>
        <v>4845.9949999999999</v>
      </c>
      <c r="E29" s="15">
        <v>20</v>
      </c>
      <c r="F29" s="16">
        <v>0</v>
      </c>
      <c r="G29" s="17">
        <v>4</v>
      </c>
      <c r="H29" s="18">
        <v>129373.7</v>
      </c>
      <c r="I29" s="18">
        <v>94</v>
      </c>
      <c r="J29" s="18">
        <v>0</v>
      </c>
      <c r="K29" s="19">
        <v>20</v>
      </c>
      <c r="L29" s="59">
        <f>369.3*14350*1000/1000000</f>
        <v>5299.4549999999999</v>
      </c>
      <c r="M29" s="15">
        <v>24</v>
      </c>
      <c r="N29" s="15"/>
      <c r="O29" s="59">
        <v>2</v>
      </c>
      <c r="P29" s="19">
        <v>43931.4</v>
      </c>
      <c r="Q29" s="19">
        <v>323</v>
      </c>
      <c r="R29" s="19">
        <v>0</v>
      </c>
      <c r="S29" s="59">
        <v>6</v>
      </c>
      <c r="T29" s="68">
        <f>2338.9*14350*1000/1000000</f>
        <v>33563.214999999997</v>
      </c>
      <c r="U29" s="19">
        <v>34</v>
      </c>
      <c r="V29" s="19">
        <v>2</v>
      </c>
      <c r="W29" s="68">
        <v>4</v>
      </c>
      <c r="X29" s="68">
        <v>138089.60000000001</v>
      </c>
      <c r="Y29" s="98">
        <v>68</v>
      </c>
      <c r="Z29" s="19">
        <v>0</v>
      </c>
      <c r="AA29" s="59">
        <v>21</v>
      </c>
      <c r="AB29" s="59">
        <f>2856.2*14350*1000/1000000</f>
        <v>40986.47</v>
      </c>
      <c r="AC29" s="19">
        <v>1</v>
      </c>
      <c r="AD29" s="19"/>
      <c r="AE29" s="19">
        <v>4</v>
      </c>
      <c r="AF29" s="19">
        <v>16719.2</v>
      </c>
      <c r="AG29" s="19">
        <v>7</v>
      </c>
      <c r="AH29" s="19">
        <v>0</v>
      </c>
      <c r="AI29" s="112">
        <v>11</v>
      </c>
      <c r="AJ29" s="19">
        <f t="shared" si="0"/>
        <v>412809.03499999997</v>
      </c>
      <c r="AK29" s="19">
        <f t="shared" si="1"/>
        <v>571</v>
      </c>
      <c r="AL29" s="19">
        <f t="shared" si="2"/>
        <v>2</v>
      </c>
      <c r="AM29" s="19">
        <f t="shared" si="3"/>
        <v>72</v>
      </c>
      <c r="AN29" s="114">
        <f t="shared" si="4"/>
        <v>14</v>
      </c>
      <c r="AO29" s="114">
        <f t="shared" si="5"/>
        <v>58</v>
      </c>
      <c r="AP29" s="114">
        <f t="shared" si="6"/>
        <v>328113.90000000002</v>
      </c>
      <c r="AQ29" s="114">
        <f t="shared" si="7"/>
        <v>84695.134999999995</v>
      </c>
      <c r="AR29" s="114">
        <f t="shared" si="8"/>
        <v>492</v>
      </c>
      <c r="AS29" s="114">
        <f t="shared" si="9"/>
        <v>0</v>
      </c>
      <c r="AT29" s="114">
        <f t="shared" si="10"/>
        <v>79</v>
      </c>
      <c r="AU29" s="114">
        <f t="shared" si="11"/>
        <v>2</v>
      </c>
    </row>
    <row r="30" spans="1:47">
      <c r="A30" s="6"/>
      <c r="B30" s="13">
        <v>12</v>
      </c>
      <c r="C30" s="14" t="s">
        <v>102</v>
      </c>
      <c r="D30" s="15">
        <f>2219.9*14350*1000/1000000</f>
        <v>31855.564999999999</v>
      </c>
      <c r="E30" s="15">
        <v>0</v>
      </c>
      <c r="F30" s="16">
        <v>0</v>
      </c>
      <c r="G30" s="17">
        <v>10</v>
      </c>
      <c r="H30" s="18">
        <v>159916.29999999999</v>
      </c>
      <c r="I30" s="18">
        <v>1576</v>
      </c>
      <c r="J30" s="18">
        <v>13</v>
      </c>
      <c r="K30" s="19">
        <v>8</v>
      </c>
      <c r="L30" s="59">
        <f>9902.9*14350*1000/1000000</f>
        <v>142106.61499999999</v>
      </c>
      <c r="M30" s="15">
        <v>49</v>
      </c>
      <c r="N30" s="15">
        <v>1</v>
      </c>
      <c r="O30" s="59">
        <v>9</v>
      </c>
      <c r="P30" s="19">
        <v>17205.400000000001</v>
      </c>
      <c r="Q30" s="19">
        <v>131</v>
      </c>
      <c r="R30" s="19">
        <v>1</v>
      </c>
      <c r="S30" s="59">
        <v>7</v>
      </c>
      <c r="T30" s="68">
        <f>1961.4*14350*1000/1000000</f>
        <v>28146.09</v>
      </c>
      <c r="U30" s="19">
        <v>224</v>
      </c>
      <c r="V30" s="19">
        <v>1</v>
      </c>
      <c r="W30" s="68">
        <v>12</v>
      </c>
      <c r="X30" s="68">
        <v>22471.9</v>
      </c>
      <c r="Y30" s="98">
        <v>73</v>
      </c>
      <c r="Z30" s="19">
        <v>1</v>
      </c>
      <c r="AA30" s="59">
        <v>33</v>
      </c>
      <c r="AB30" s="59">
        <f>3421.6*14350*1000/1000000</f>
        <v>49099.96</v>
      </c>
      <c r="AC30" s="19">
        <v>59</v>
      </c>
      <c r="AD30" s="19">
        <v>1</v>
      </c>
      <c r="AE30" s="19">
        <v>9</v>
      </c>
      <c r="AF30" s="19">
        <v>7652.4</v>
      </c>
      <c r="AG30" s="19">
        <v>380</v>
      </c>
      <c r="AH30" s="19">
        <v>0</v>
      </c>
      <c r="AI30" s="112">
        <v>16</v>
      </c>
      <c r="AJ30" s="19">
        <f t="shared" si="0"/>
        <v>458454.23</v>
      </c>
      <c r="AK30" s="19">
        <f t="shared" si="1"/>
        <v>2492</v>
      </c>
      <c r="AL30" s="19">
        <f t="shared" si="2"/>
        <v>18</v>
      </c>
      <c r="AM30" s="19">
        <f t="shared" si="3"/>
        <v>104</v>
      </c>
      <c r="AN30" s="114">
        <f t="shared" si="4"/>
        <v>40</v>
      </c>
      <c r="AO30" s="114">
        <f t="shared" si="5"/>
        <v>64</v>
      </c>
      <c r="AP30" s="114">
        <f t="shared" si="6"/>
        <v>207246</v>
      </c>
      <c r="AQ30" s="114">
        <f t="shared" si="7"/>
        <v>251208.23</v>
      </c>
      <c r="AR30" s="114">
        <f t="shared" si="8"/>
        <v>2160</v>
      </c>
      <c r="AS30" s="114">
        <f t="shared" si="9"/>
        <v>15</v>
      </c>
      <c r="AT30" s="114">
        <f t="shared" si="10"/>
        <v>332</v>
      </c>
      <c r="AU30" s="114">
        <f t="shared" si="11"/>
        <v>3</v>
      </c>
    </row>
    <row r="31" spans="1:47">
      <c r="A31" s="6"/>
      <c r="B31" s="13"/>
      <c r="C31" s="10"/>
      <c r="D31" s="19"/>
      <c r="E31" s="19"/>
      <c r="F31" s="20"/>
      <c r="G31" s="21"/>
      <c r="H31" s="22"/>
      <c r="I31" s="22"/>
      <c r="J31" s="22"/>
      <c r="K31" s="10"/>
      <c r="L31" s="60"/>
      <c r="M31" s="10"/>
      <c r="N31" s="61"/>
      <c r="O31" s="60"/>
      <c r="P31" s="10"/>
      <c r="Q31" s="10"/>
      <c r="R31" s="10"/>
      <c r="S31" s="60"/>
      <c r="T31" s="92"/>
      <c r="U31" s="10"/>
      <c r="V31" s="10"/>
      <c r="W31" s="92"/>
      <c r="X31" s="92"/>
      <c r="Y31" s="100"/>
      <c r="Z31" s="10"/>
      <c r="AA31" s="60"/>
      <c r="AB31" s="60"/>
      <c r="AC31" s="10"/>
      <c r="AD31" s="61"/>
      <c r="AE31" s="10"/>
      <c r="AF31" s="10"/>
      <c r="AG31" s="10"/>
      <c r="AH31" s="10"/>
      <c r="AI31" s="112"/>
      <c r="AJ31" s="19">
        <f t="shared" si="0"/>
        <v>0</v>
      </c>
      <c r="AK31" s="19">
        <f t="shared" si="1"/>
        <v>0</v>
      </c>
      <c r="AL31" s="19">
        <f t="shared" si="2"/>
        <v>0</v>
      </c>
      <c r="AM31" s="19">
        <f t="shared" si="3"/>
        <v>0</v>
      </c>
      <c r="AN31" s="114">
        <f t="shared" si="4"/>
        <v>0</v>
      </c>
      <c r="AO31" s="114">
        <f t="shared" si="5"/>
        <v>0</v>
      </c>
      <c r="AP31" s="114">
        <f t="shared" si="6"/>
        <v>0</v>
      </c>
      <c r="AQ31" s="114">
        <f t="shared" si="7"/>
        <v>0</v>
      </c>
      <c r="AR31" s="114">
        <f t="shared" si="8"/>
        <v>0</v>
      </c>
      <c r="AS31" s="114">
        <f t="shared" si="9"/>
        <v>0</v>
      </c>
      <c r="AT31" s="114">
        <f t="shared" si="10"/>
        <v>0</v>
      </c>
      <c r="AU31" s="114">
        <f t="shared" si="11"/>
        <v>0</v>
      </c>
    </row>
    <row r="32" spans="1:47">
      <c r="A32" s="6"/>
      <c r="B32" s="13"/>
      <c r="C32" s="12" t="s">
        <v>105</v>
      </c>
      <c r="D32" s="19"/>
      <c r="E32" s="19"/>
      <c r="F32" s="20"/>
      <c r="G32" s="21"/>
      <c r="H32" s="22"/>
      <c r="I32" s="22"/>
      <c r="J32" s="18"/>
      <c r="K32" s="19"/>
      <c r="L32" s="60"/>
      <c r="M32" s="10"/>
      <c r="N32" s="20"/>
      <c r="O32" s="59"/>
      <c r="P32" s="10"/>
      <c r="Q32" s="10"/>
      <c r="R32" s="19"/>
      <c r="S32" s="59"/>
      <c r="T32" s="92"/>
      <c r="U32" s="10"/>
      <c r="V32" s="19"/>
      <c r="W32" s="92"/>
      <c r="X32" s="92"/>
      <c r="Y32" s="100"/>
      <c r="Z32" s="19"/>
      <c r="AA32" s="59"/>
      <c r="AB32" s="60"/>
      <c r="AC32" s="10"/>
      <c r="AD32" s="20"/>
      <c r="AE32" s="19"/>
      <c r="AF32" s="10"/>
      <c r="AG32" s="10"/>
      <c r="AH32" s="19"/>
      <c r="AI32" s="112"/>
      <c r="AJ32" s="19">
        <f t="shared" si="0"/>
        <v>0</v>
      </c>
      <c r="AK32" s="19">
        <f t="shared" si="1"/>
        <v>0</v>
      </c>
      <c r="AL32" s="19">
        <f t="shared" si="2"/>
        <v>0</v>
      </c>
      <c r="AM32" s="19">
        <f t="shared" si="3"/>
        <v>0</v>
      </c>
      <c r="AN32" s="114">
        <f t="shared" si="4"/>
        <v>0</v>
      </c>
      <c r="AO32" s="114">
        <f t="shared" si="5"/>
        <v>0</v>
      </c>
      <c r="AP32" s="114">
        <f t="shared" si="6"/>
        <v>0</v>
      </c>
      <c r="AQ32" s="114">
        <f t="shared" si="7"/>
        <v>0</v>
      </c>
      <c r="AR32" s="114">
        <f t="shared" si="8"/>
        <v>0</v>
      </c>
      <c r="AS32" s="114">
        <f t="shared" si="9"/>
        <v>0</v>
      </c>
      <c r="AT32" s="114">
        <f t="shared" si="10"/>
        <v>0</v>
      </c>
      <c r="AU32" s="114">
        <f t="shared" si="11"/>
        <v>0</v>
      </c>
    </row>
    <row r="33" spans="2:50">
      <c r="B33" s="23">
        <v>13</v>
      </c>
      <c r="C33" s="24" t="s">
        <v>106</v>
      </c>
      <c r="D33" s="25">
        <f>7636.7*14350*1000/1000000</f>
        <v>109586.645</v>
      </c>
      <c r="E33" s="26">
        <v>160</v>
      </c>
      <c r="F33" s="27">
        <v>4</v>
      </c>
      <c r="G33" s="17">
        <v>26</v>
      </c>
      <c r="H33" s="18">
        <v>219012.9</v>
      </c>
      <c r="I33" s="62">
        <v>312</v>
      </c>
      <c r="J33" s="62">
        <v>0</v>
      </c>
      <c r="K33" s="19">
        <v>100</v>
      </c>
      <c r="L33" s="63">
        <f>20974.6*14350*1000/1000000</f>
        <v>300985.51</v>
      </c>
      <c r="M33" s="64">
        <v>15</v>
      </c>
      <c r="N33" s="65"/>
      <c r="O33" s="66">
        <v>15</v>
      </c>
      <c r="P33" s="19">
        <v>57344.6</v>
      </c>
      <c r="Q33" s="64">
        <v>786</v>
      </c>
      <c r="R33" s="64">
        <v>0</v>
      </c>
      <c r="S33" s="66">
        <v>71</v>
      </c>
      <c r="T33" s="68">
        <f>15598.5*14350*1000/1000000</f>
        <v>223838.47500000001</v>
      </c>
      <c r="U33" s="19">
        <v>30</v>
      </c>
      <c r="V33" s="19">
        <v>5</v>
      </c>
      <c r="W33" s="68">
        <v>17</v>
      </c>
      <c r="X33" s="68">
        <v>71083.100000000006</v>
      </c>
      <c r="Y33" s="98">
        <v>482</v>
      </c>
      <c r="Z33" s="19">
        <v>0</v>
      </c>
      <c r="AA33" s="59">
        <v>464</v>
      </c>
      <c r="AB33" s="59">
        <f>13757.6*14350*1000/1000000</f>
        <v>197421.56</v>
      </c>
      <c r="AC33" s="64">
        <v>55</v>
      </c>
      <c r="AD33" s="65">
        <v>2</v>
      </c>
      <c r="AE33" s="64">
        <v>21</v>
      </c>
      <c r="AF33" s="19">
        <v>114648.6</v>
      </c>
      <c r="AG33" s="19">
        <v>327</v>
      </c>
      <c r="AH33" s="19">
        <v>0</v>
      </c>
      <c r="AI33" s="113">
        <v>72</v>
      </c>
      <c r="AJ33" s="19">
        <f t="shared" si="0"/>
        <v>1293921.3899999999</v>
      </c>
      <c r="AK33" s="19">
        <f t="shared" si="1"/>
        <v>2167</v>
      </c>
      <c r="AL33" s="19">
        <f t="shared" si="2"/>
        <v>11</v>
      </c>
      <c r="AM33" s="19">
        <f t="shared" si="3"/>
        <v>786</v>
      </c>
      <c r="AN33" s="114">
        <f t="shared" si="4"/>
        <v>79</v>
      </c>
      <c r="AO33" s="114">
        <f t="shared" si="5"/>
        <v>707</v>
      </c>
      <c r="AP33" s="114">
        <f t="shared" si="6"/>
        <v>462089.2</v>
      </c>
      <c r="AQ33" s="114">
        <f t="shared" si="7"/>
        <v>831832.19</v>
      </c>
      <c r="AR33" s="114">
        <f t="shared" si="8"/>
        <v>1907</v>
      </c>
      <c r="AS33" s="114">
        <f t="shared" si="9"/>
        <v>0</v>
      </c>
      <c r="AT33" s="114">
        <f t="shared" si="10"/>
        <v>260</v>
      </c>
      <c r="AU33" s="114">
        <f t="shared" si="11"/>
        <v>11</v>
      </c>
    </row>
    <row r="34" spans="2:50">
      <c r="B34" s="23">
        <v>14</v>
      </c>
      <c r="C34" s="24" t="s">
        <v>89</v>
      </c>
      <c r="D34" s="25">
        <v>0</v>
      </c>
      <c r="E34" s="26">
        <v>0</v>
      </c>
      <c r="F34" s="27">
        <v>0</v>
      </c>
      <c r="G34" s="17">
        <v>0</v>
      </c>
      <c r="H34" s="18">
        <v>6061.1</v>
      </c>
      <c r="I34" s="62">
        <v>23</v>
      </c>
      <c r="J34" s="62">
        <v>0</v>
      </c>
      <c r="K34" s="19">
        <v>6</v>
      </c>
      <c r="L34" s="25">
        <v>0</v>
      </c>
      <c r="M34" s="26">
        <v>0</v>
      </c>
      <c r="N34" s="27">
        <v>0</v>
      </c>
      <c r="O34" s="67">
        <v>0</v>
      </c>
      <c r="P34" s="19">
        <v>4036.5</v>
      </c>
      <c r="Q34" s="64">
        <v>2</v>
      </c>
      <c r="R34" s="64"/>
      <c r="S34" s="66">
        <v>3</v>
      </c>
      <c r="T34" s="59">
        <v>0</v>
      </c>
      <c r="U34" s="59">
        <v>0</v>
      </c>
      <c r="V34" s="59">
        <v>0</v>
      </c>
      <c r="W34" s="68"/>
      <c r="X34" s="68">
        <v>2438.3000000000002</v>
      </c>
      <c r="Y34" s="98">
        <v>4</v>
      </c>
      <c r="Z34" s="19">
        <v>0</v>
      </c>
      <c r="AA34" s="59">
        <v>9</v>
      </c>
      <c r="AB34" s="59"/>
      <c r="AC34" s="64"/>
      <c r="AD34" s="64"/>
      <c r="AE34" s="64"/>
      <c r="AF34" s="19">
        <v>164.8</v>
      </c>
      <c r="AG34" s="19">
        <v>0</v>
      </c>
      <c r="AH34" s="19">
        <v>0</v>
      </c>
      <c r="AI34" s="113">
        <v>3</v>
      </c>
      <c r="AJ34" s="19">
        <f t="shared" si="0"/>
        <v>12700.7</v>
      </c>
      <c r="AK34" s="19">
        <f t="shared" si="1"/>
        <v>29</v>
      </c>
      <c r="AL34" s="19">
        <f t="shared" si="2"/>
        <v>0</v>
      </c>
      <c r="AM34" s="19">
        <f t="shared" si="3"/>
        <v>21</v>
      </c>
      <c r="AN34" s="114">
        <f t="shared" si="4"/>
        <v>0</v>
      </c>
      <c r="AO34" s="114">
        <f t="shared" si="5"/>
        <v>21</v>
      </c>
      <c r="AP34" s="114">
        <f t="shared" si="6"/>
        <v>12700.7</v>
      </c>
      <c r="AQ34" s="114">
        <f t="shared" si="7"/>
        <v>0</v>
      </c>
      <c r="AR34" s="114">
        <f t="shared" si="8"/>
        <v>29</v>
      </c>
      <c r="AS34" s="114">
        <f t="shared" si="9"/>
        <v>0</v>
      </c>
      <c r="AT34" s="114">
        <f t="shared" si="10"/>
        <v>0</v>
      </c>
      <c r="AU34" s="114">
        <f t="shared" si="11"/>
        <v>0</v>
      </c>
    </row>
    <row r="35" spans="2:50">
      <c r="B35" s="23">
        <v>15</v>
      </c>
      <c r="C35" s="24" t="s">
        <v>107</v>
      </c>
      <c r="D35" s="25">
        <v>0</v>
      </c>
      <c r="E35" s="26">
        <v>0</v>
      </c>
      <c r="F35" s="27">
        <v>0</v>
      </c>
      <c r="G35" s="17">
        <v>0</v>
      </c>
      <c r="H35" s="18">
        <v>19845.099999999999</v>
      </c>
      <c r="I35" s="62">
        <v>23</v>
      </c>
      <c r="J35" s="62">
        <v>0</v>
      </c>
      <c r="K35" s="19">
        <v>11</v>
      </c>
      <c r="L35" s="25">
        <v>0</v>
      </c>
      <c r="M35" s="26">
        <v>0</v>
      </c>
      <c r="N35" s="27">
        <v>0</v>
      </c>
      <c r="O35" s="67">
        <v>0</v>
      </c>
      <c r="P35" s="19">
        <v>26072.9</v>
      </c>
      <c r="Q35" s="64">
        <v>89</v>
      </c>
      <c r="R35" s="64"/>
      <c r="S35" s="66">
        <v>11</v>
      </c>
      <c r="T35" s="59">
        <v>0</v>
      </c>
      <c r="U35" s="59">
        <v>0</v>
      </c>
      <c r="V35" s="59">
        <v>0</v>
      </c>
      <c r="W35" s="68"/>
      <c r="X35" s="68">
        <v>26023.4</v>
      </c>
      <c r="Y35" s="98">
        <v>60</v>
      </c>
      <c r="Z35" s="19">
        <v>0</v>
      </c>
      <c r="AA35" s="59">
        <v>14</v>
      </c>
      <c r="AB35" s="59"/>
      <c r="AC35" s="64"/>
      <c r="AD35" s="64"/>
      <c r="AE35" s="64"/>
      <c r="AF35" s="19">
        <v>40651.5</v>
      </c>
      <c r="AG35" s="19">
        <v>34</v>
      </c>
      <c r="AH35" s="19">
        <v>0</v>
      </c>
      <c r="AI35" s="113">
        <v>18</v>
      </c>
      <c r="AJ35" s="19">
        <f t="shared" si="0"/>
        <v>112592.9</v>
      </c>
      <c r="AK35" s="19">
        <f t="shared" si="1"/>
        <v>206</v>
      </c>
      <c r="AL35" s="19">
        <f t="shared" si="2"/>
        <v>0</v>
      </c>
      <c r="AM35" s="19">
        <f t="shared" si="3"/>
        <v>54</v>
      </c>
      <c r="AN35" s="114">
        <f t="shared" si="4"/>
        <v>0</v>
      </c>
      <c r="AO35" s="114">
        <f t="shared" si="5"/>
        <v>54</v>
      </c>
      <c r="AP35" s="114">
        <f t="shared" si="6"/>
        <v>112592.9</v>
      </c>
      <c r="AQ35" s="114">
        <f t="shared" si="7"/>
        <v>0</v>
      </c>
      <c r="AR35" s="114">
        <f t="shared" si="8"/>
        <v>206</v>
      </c>
      <c r="AS35" s="114">
        <f t="shared" si="9"/>
        <v>0</v>
      </c>
      <c r="AT35" s="114">
        <f t="shared" si="10"/>
        <v>0</v>
      </c>
      <c r="AU35" s="114">
        <f t="shared" si="11"/>
        <v>0</v>
      </c>
    </row>
    <row r="36" spans="2:50" ht="15" customHeight="1">
      <c r="B36" s="23">
        <v>16</v>
      </c>
      <c r="C36" s="24" t="s">
        <v>108</v>
      </c>
      <c r="D36" s="25">
        <v>0</v>
      </c>
      <c r="E36" s="26">
        <v>0</v>
      </c>
      <c r="F36" s="27">
        <v>0</v>
      </c>
      <c r="G36" s="17">
        <v>0</v>
      </c>
      <c r="H36" s="18">
        <v>10026.5</v>
      </c>
      <c r="I36" s="62">
        <v>0</v>
      </c>
      <c r="J36" s="62">
        <v>0</v>
      </c>
      <c r="K36" s="19">
        <v>2</v>
      </c>
      <c r="L36" s="25">
        <v>0</v>
      </c>
      <c r="M36" s="26">
        <v>0</v>
      </c>
      <c r="N36" s="27">
        <v>0</v>
      </c>
      <c r="O36" s="67">
        <v>0</v>
      </c>
      <c r="P36" s="19">
        <v>281.8</v>
      </c>
      <c r="Q36" s="64">
        <v>9</v>
      </c>
      <c r="R36" s="64">
        <v>0</v>
      </c>
      <c r="S36" s="66">
        <v>3</v>
      </c>
      <c r="T36" s="59">
        <f>32.5*14350*1000/1000000</f>
        <v>466.375</v>
      </c>
      <c r="U36" s="19">
        <v>0</v>
      </c>
      <c r="V36" s="19">
        <v>0</v>
      </c>
      <c r="W36" s="68">
        <v>1</v>
      </c>
      <c r="X36" s="68">
        <v>109.1</v>
      </c>
      <c r="Y36" s="98">
        <v>0</v>
      </c>
      <c r="Z36" s="19">
        <v>0</v>
      </c>
      <c r="AA36" s="59">
        <v>13</v>
      </c>
      <c r="AB36" s="59">
        <f>41.8*14350*1000/1000000</f>
        <v>599.83000000000004</v>
      </c>
      <c r="AC36" s="64">
        <v>0</v>
      </c>
      <c r="AD36" s="64">
        <v>0</v>
      </c>
      <c r="AE36" s="64">
        <v>1</v>
      </c>
      <c r="AF36" s="19">
        <v>1695.2</v>
      </c>
      <c r="AG36" s="19">
        <v>11</v>
      </c>
      <c r="AH36" s="19">
        <v>0</v>
      </c>
      <c r="AI36" s="113">
        <v>4</v>
      </c>
      <c r="AJ36" s="19">
        <f t="shared" si="0"/>
        <v>13178.805</v>
      </c>
      <c r="AK36" s="19">
        <f t="shared" si="1"/>
        <v>20</v>
      </c>
      <c r="AL36" s="19">
        <f t="shared" si="2"/>
        <v>0</v>
      </c>
      <c r="AM36" s="19">
        <f t="shared" si="3"/>
        <v>24</v>
      </c>
      <c r="AN36" s="114">
        <f t="shared" si="4"/>
        <v>2</v>
      </c>
      <c r="AO36" s="114">
        <f t="shared" si="5"/>
        <v>22</v>
      </c>
      <c r="AP36" s="114">
        <f t="shared" si="6"/>
        <v>12112.6</v>
      </c>
      <c r="AQ36" s="114">
        <f t="shared" si="7"/>
        <v>1066.2049999999999</v>
      </c>
      <c r="AR36" s="114">
        <f t="shared" si="8"/>
        <v>20</v>
      </c>
      <c r="AS36" s="114">
        <f t="shared" si="9"/>
        <v>0</v>
      </c>
      <c r="AT36" s="114">
        <f t="shared" si="10"/>
        <v>0</v>
      </c>
      <c r="AU36" s="114">
        <f t="shared" si="11"/>
        <v>0</v>
      </c>
    </row>
    <row r="37" spans="2:50">
      <c r="B37" s="23">
        <v>17</v>
      </c>
      <c r="C37" s="24" t="s">
        <v>109</v>
      </c>
      <c r="D37" s="25">
        <v>0</v>
      </c>
      <c r="E37" s="26">
        <v>0</v>
      </c>
      <c r="F37" s="27">
        <v>0</v>
      </c>
      <c r="G37" s="17">
        <v>0</v>
      </c>
      <c r="H37" s="18">
        <v>3272.9</v>
      </c>
      <c r="I37" s="62">
        <v>6</v>
      </c>
      <c r="J37" s="62">
        <v>0</v>
      </c>
      <c r="K37" s="19">
        <v>5</v>
      </c>
      <c r="L37" s="25">
        <v>0</v>
      </c>
      <c r="M37" s="26">
        <v>0</v>
      </c>
      <c r="N37" s="27">
        <v>0</v>
      </c>
      <c r="O37" s="67">
        <v>0</v>
      </c>
      <c r="P37" s="19">
        <v>162</v>
      </c>
      <c r="Q37" s="64">
        <v>0</v>
      </c>
      <c r="R37" s="64">
        <v>0</v>
      </c>
      <c r="S37" s="66">
        <v>3</v>
      </c>
      <c r="T37" s="59">
        <v>0</v>
      </c>
      <c r="U37" s="59">
        <v>0</v>
      </c>
      <c r="V37" s="59">
        <v>0</v>
      </c>
      <c r="W37" s="68"/>
      <c r="X37" s="68">
        <v>13.2</v>
      </c>
      <c r="Y37" s="98">
        <v>0</v>
      </c>
      <c r="Z37" s="19">
        <v>0</v>
      </c>
      <c r="AA37" s="59">
        <v>6</v>
      </c>
      <c r="AB37" s="59"/>
      <c r="AC37" s="64"/>
      <c r="AD37" s="64"/>
      <c r="AE37" s="64"/>
      <c r="AF37" s="19">
        <v>1.5</v>
      </c>
      <c r="AG37" s="19">
        <v>7</v>
      </c>
      <c r="AH37" s="19">
        <v>0</v>
      </c>
      <c r="AI37" s="113">
        <v>1</v>
      </c>
      <c r="AJ37" s="19">
        <f t="shared" si="0"/>
        <v>3449.6</v>
      </c>
      <c r="AK37" s="19">
        <f t="shared" si="1"/>
        <v>13</v>
      </c>
      <c r="AL37" s="19">
        <f t="shared" si="2"/>
        <v>0</v>
      </c>
      <c r="AM37" s="19">
        <f t="shared" si="3"/>
        <v>15</v>
      </c>
      <c r="AN37" s="114">
        <f t="shared" si="4"/>
        <v>0</v>
      </c>
      <c r="AO37" s="114">
        <f t="shared" si="5"/>
        <v>15</v>
      </c>
      <c r="AP37" s="114">
        <f t="shared" si="6"/>
        <v>3449.6</v>
      </c>
      <c r="AQ37" s="114">
        <f t="shared" si="7"/>
        <v>0</v>
      </c>
      <c r="AR37" s="114">
        <f t="shared" si="8"/>
        <v>13</v>
      </c>
      <c r="AS37" s="114">
        <f t="shared" si="9"/>
        <v>0</v>
      </c>
      <c r="AT37" s="114">
        <f t="shared" si="10"/>
        <v>0</v>
      </c>
      <c r="AU37" s="114">
        <f t="shared" si="11"/>
        <v>0</v>
      </c>
    </row>
    <row r="38" spans="2:50">
      <c r="B38" s="23">
        <v>18</v>
      </c>
      <c r="C38" s="24" t="s">
        <v>110</v>
      </c>
      <c r="D38" s="25">
        <v>0</v>
      </c>
      <c r="E38" s="26">
        <v>0</v>
      </c>
      <c r="F38" s="27">
        <v>0</v>
      </c>
      <c r="G38" s="17">
        <v>0</v>
      </c>
      <c r="H38" s="18">
        <v>3393.3</v>
      </c>
      <c r="I38" s="62">
        <v>37</v>
      </c>
      <c r="J38" s="62"/>
      <c r="K38" s="19">
        <v>7</v>
      </c>
      <c r="L38" s="25">
        <v>0</v>
      </c>
      <c r="M38" s="26">
        <v>0</v>
      </c>
      <c r="N38" s="27">
        <v>0</v>
      </c>
      <c r="O38" s="67">
        <v>0</v>
      </c>
      <c r="P38" s="19">
        <v>5509.4</v>
      </c>
      <c r="Q38" s="64">
        <v>7</v>
      </c>
      <c r="R38" s="64">
        <v>0</v>
      </c>
      <c r="S38" s="66">
        <v>8</v>
      </c>
      <c r="T38" s="59">
        <v>0</v>
      </c>
      <c r="U38" s="59">
        <v>0</v>
      </c>
      <c r="V38" s="59">
        <v>0</v>
      </c>
      <c r="W38" s="68"/>
      <c r="X38" s="68">
        <v>8353.2000000000007</v>
      </c>
      <c r="Y38" s="98">
        <v>3</v>
      </c>
      <c r="Z38" s="19">
        <v>0</v>
      </c>
      <c r="AA38" s="59">
        <v>17</v>
      </c>
      <c r="AB38" s="59"/>
      <c r="AC38" s="64"/>
      <c r="AD38" s="64"/>
      <c r="AE38" s="64"/>
      <c r="AF38" s="19">
        <v>197.6</v>
      </c>
      <c r="AG38" s="19">
        <v>8</v>
      </c>
      <c r="AH38" s="19">
        <v>0</v>
      </c>
      <c r="AI38" s="113">
        <v>4</v>
      </c>
      <c r="AJ38" s="19">
        <f t="shared" si="0"/>
        <v>17453.5</v>
      </c>
      <c r="AK38" s="19">
        <f t="shared" si="1"/>
        <v>55</v>
      </c>
      <c r="AL38" s="19">
        <f t="shared" si="2"/>
        <v>0</v>
      </c>
      <c r="AM38" s="19">
        <f t="shared" si="3"/>
        <v>36</v>
      </c>
      <c r="AN38" s="114">
        <f t="shared" si="4"/>
        <v>0</v>
      </c>
      <c r="AO38" s="114">
        <f t="shared" si="5"/>
        <v>36</v>
      </c>
      <c r="AP38" s="114">
        <f t="shared" si="6"/>
        <v>17453.5</v>
      </c>
      <c r="AQ38" s="114">
        <f t="shared" si="7"/>
        <v>0</v>
      </c>
      <c r="AR38" s="114">
        <f t="shared" si="8"/>
        <v>55</v>
      </c>
      <c r="AS38" s="114">
        <f t="shared" si="9"/>
        <v>0</v>
      </c>
      <c r="AT38" s="114">
        <f t="shared" si="10"/>
        <v>0</v>
      </c>
      <c r="AU38" s="114">
        <f t="shared" si="11"/>
        <v>0</v>
      </c>
    </row>
    <row r="39" spans="2:50">
      <c r="B39" s="23">
        <v>19</v>
      </c>
      <c r="C39" s="24" t="s">
        <v>111</v>
      </c>
      <c r="D39" s="25">
        <v>0</v>
      </c>
      <c r="E39" s="26">
        <v>0</v>
      </c>
      <c r="F39" s="27">
        <v>0</v>
      </c>
      <c r="G39" s="17">
        <v>0</v>
      </c>
      <c r="H39" s="18">
        <v>2334.6999999999998</v>
      </c>
      <c r="I39" s="62">
        <v>8</v>
      </c>
      <c r="J39" s="62">
        <v>0</v>
      </c>
      <c r="K39" s="19">
        <v>8</v>
      </c>
      <c r="L39" s="25">
        <v>0</v>
      </c>
      <c r="M39" s="26">
        <v>0</v>
      </c>
      <c r="N39" s="27">
        <v>0</v>
      </c>
      <c r="O39" s="67">
        <v>0</v>
      </c>
      <c r="P39" s="68"/>
      <c r="Q39" s="68"/>
      <c r="R39" s="68"/>
      <c r="S39" s="68">
        <v>0</v>
      </c>
      <c r="T39" s="59">
        <v>0</v>
      </c>
      <c r="U39" s="59">
        <v>0</v>
      </c>
      <c r="V39" s="59">
        <v>0</v>
      </c>
      <c r="W39" s="68"/>
      <c r="X39" s="68">
        <v>156</v>
      </c>
      <c r="Y39" s="98">
        <v>5</v>
      </c>
      <c r="Z39" s="19">
        <v>0</v>
      </c>
      <c r="AA39" s="59">
        <v>2</v>
      </c>
      <c r="AB39" s="59"/>
      <c r="AC39" s="64"/>
      <c r="AD39" s="65"/>
      <c r="AE39" s="64"/>
      <c r="AF39" s="19">
        <v>0.4</v>
      </c>
      <c r="AG39" s="19">
        <v>14</v>
      </c>
      <c r="AH39" s="19">
        <v>0</v>
      </c>
      <c r="AI39" s="113">
        <v>2</v>
      </c>
      <c r="AJ39" s="19">
        <f t="shared" si="0"/>
        <v>2491.1</v>
      </c>
      <c r="AK39" s="19">
        <f t="shared" si="1"/>
        <v>27</v>
      </c>
      <c r="AL39" s="19">
        <f t="shared" si="2"/>
        <v>0</v>
      </c>
      <c r="AM39" s="19">
        <f t="shared" si="3"/>
        <v>12</v>
      </c>
      <c r="AN39" s="114">
        <f t="shared" si="4"/>
        <v>0</v>
      </c>
      <c r="AO39" s="114">
        <f t="shared" si="5"/>
        <v>12</v>
      </c>
      <c r="AP39" s="114">
        <f t="shared" si="6"/>
        <v>2491.1</v>
      </c>
      <c r="AQ39" s="114">
        <f t="shared" si="7"/>
        <v>0</v>
      </c>
      <c r="AR39" s="114">
        <f t="shared" si="8"/>
        <v>27</v>
      </c>
      <c r="AS39" s="114">
        <f t="shared" si="9"/>
        <v>0</v>
      </c>
      <c r="AT39" s="114">
        <f t="shared" si="10"/>
        <v>0</v>
      </c>
      <c r="AU39" s="114">
        <f t="shared" si="11"/>
        <v>0</v>
      </c>
    </row>
    <row r="40" spans="2:50">
      <c r="B40" s="28"/>
      <c r="C40" s="29"/>
      <c r="D40" s="29"/>
      <c r="E40" s="29"/>
      <c r="F40" s="30"/>
      <c r="G40" s="31"/>
      <c r="H40" s="10"/>
      <c r="I40" s="69"/>
      <c r="J40" s="69"/>
      <c r="K40" s="10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10"/>
      <c r="X40" s="10"/>
      <c r="Y40" s="10"/>
      <c r="Z40" s="10"/>
      <c r="AA40" s="60"/>
      <c r="AB40" s="60"/>
      <c r="AC40" s="29"/>
      <c r="AD40" s="30"/>
      <c r="AE40" s="29"/>
      <c r="AF40" s="29"/>
      <c r="AG40" s="29"/>
      <c r="AH40" s="29"/>
      <c r="AI40" s="113"/>
      <c r="AJ40" s="19">
        <f t="shared" si="0"/>
        <v>0</v>
      </c>
      <c r="AK40" s="19">
        <f t="shared" si="1"/>
        <v>0</v>
      </c>
      <c r="AL40" s="19">
        <f t="shared" si="2"/>
        <v>0</v>
      </c>
      <c r="AM40" s="19">
        <f t="shared" si="3"/>
        <v>0</v>
      </c>
      <c r="AN40" s="114">
        <f t="shared" si="4"/>
        <v>0</v>
      </c>
      <c r="AO40" s="114">
        <f t="shared" ref="AO40" si="12">+AI40+AA40+S40+K40</f>
        <v>0</v>
      </c>
      <c r="AP40" s="114">
        <f t="shared" si="6"/>
        <v>0</v>
      </c>
      <c r="AQ40" s="114">
        <f t="shared" si="7"/>
        <v>0</v>
      </c>
      <c r="AR40" s="114">
        <f t="shared" si="8"/>
        <v>0</v>
      </c>
      <c r="AS40" s="114">
        <f t="shared" si="9"/>
        <v>0</v>
      </c>
      <c r="AT40" s="114">
        <f t="shared" si="10"/>
        <v>0</v>
      </c>
      <c r="AU40" s="114">
        <f t="shared" si="11"/>
        <v>0</v>
      </c>
    </row>
    <row r="41" spans="2:50" s="1" customFormat="1" ht="28.5" customHeight="1">
      <c r="B41" s="365" t="s">
        <v>112</v>
      </c>
      <c r="C41" s="365"/>
      <c r="D41" s="33">
        <f t="shared" ref="D41:L41" si="13">SUM(D19:D39)</f>
        <v>191311.33</v>
      </c>
      <c r="E41" s="33">
        <f t="shared" si="13"/>
        <v>196</v>
      </c>
      <c r="F41" s="33">
        <f t="shared" si="13"/>
        <v>5</v>
      </c>
      <c r="G41" s="33">
        <f t="shared" si="13"/>
        <v>75</v>
      </c>
      <c r="H41" s="34">
        <f t="shared" si="13"/>
        <v>819489.9</v>
      </c>
      <c r="I41" s="33">
        <f t="shared" si="13"/>
        <v>2605</v>
      </c>
      <c r="J41" s="33">
        <f t="shared" si="13"/>
        <v>30</v>
      </c>
      <c r="K41" s="33">
        <f t="shared" si="13"/>
        <v>303</v>
      </c>
      <c r="L41" s="34">
        <f t="shared" si="13"/>
        <v>523374.63500000001</v>
      </c>
      <c r="M41" s="32">
        <f t="shared" ref="M41:AU41" si="14">SUM(M19:M39)</f>
        <v>228</v>
      </c>
      <c r="N41" s="32">
        <f t="shared" si="14"/>
        <v>3</v>
      </c>
      <c r="O41" s="32">
        <f t="shared" si="14"/>
        <v>44</v>
      </c>
      <c r="P41" s="70">
        <f t="shared" si="14"/>
        <v>314430.3</v>
      </c>
      <c r="Q41" s="93">
        <f t="shared" si="14"/>
        <v>1632</v>
      </c>
      <c r="R41" s="32">
        <f t="shared" si="14"/>
        <v>6</v>
      </c>
      <c r="S41" s="32">
        <f t="shared" si="14"/>
        <v>175</v>
      </c>
      <c r="T41" s="33">
        <f t="shared" si="14"/>
        <v>342886.07500000001</v>
      </c>
      <c r="U41" s="33">
        <f t="shared" si="14"/>
        <v>290</v>
      </c>
      <c r="V41" s="33">
        <f t="shared" si="14"/>
        <v>8</v>
      </c>
      <c r="W41" s="33">
        <f t="shared" si="14"/>
        <v>56</v>
      </c>
      <c r="X41" s="33">
        <f t="shared" si="14"/>
        <v>900744</v>
      </c>
      <c r="Y41" s="32">
        <f t="shared" si="14"/>
        <v>1100</v>
      </c>
      <c r="Z41" s="32">
        <f t="shared" si="14"/>
        <v>1</v>
      </c>
      <c r="AA41" s="32">
        <f t="shared" si="14"/>
        <v>873</v>
      </c>
      <c r="AB41" s="33">
        <f t="shared" si="14"/>
        <v>314643.84000000003</v>
      </c>
      <c r="AC41" s="33">
        <f t="shared" si="14"/>
        <v>195</v>
      </c>
      <c r="AD41" s="33">
        <f t="shared" si="14"/>
        <v>3</v>
      </c>
      <c r="AE41" s="33">
        <f t="shared" si="14"/>
        <v>49</v>
      </c>
      <c r="AF41" s="33">
        <f t="shared" si="14"/>
        <v>525086.5</v>
      </c>
      <c r="AG41" s="33">
        <f t="shared" si="14"/>
        <v>1496</v>
      </c>
      <c r="AH41" s="33">
        <f t="shared" si="14"/>
        <v>0</v>
      </c>
      <c r="AI41" s="33">
        <f t="shared" si="14"/>
        <v>241</v>
      </c>
      <c r="AJ41" s="33">
        <f t="shared" si="14"/>
        <v>3931966.58</v>
      </c>
      <c r="AK41" s="33">
        <f t="shared" si="14"/>
        <v>7742</v>
      </c>
      <c r="AL41" s="33">
        <f t="shared" si="14"/>
        <v>56</v>
      </c>
      <c r="AM41" s="33">
        <f t="shared" si="14"/>
        <v>1816</v>
      </c>
      <c r="AN41" s="33">
        <f t="shared" si="14"/>
        <v>224</v>
      </c>
      <c r="AO41" s="58">
        <f t="shared" si="14"/>
        <v>1592</v>
      </c>
      <c r="AP41" s="33">
        <f t="shared" si="14"/>
        <v>2559750.7000000002</v>
      </c>
      <c r="AQ41" s="33">
        <f t="shared" si="14"/>
        <v>1372215.88</v>
      </c>
      <c r="AR41" s="33">
        <f t="shared" si="14"/>
        <v>6833</v>
      </c>
      <c r="AS41" s="33">
        <f t="shared" si="14"/>
        <v>37</v>
      </c>
      <c r="AT41" s="33">
        <f t="shared" si="14"/>
        <v>909</v>
      </c>
      <c r="AU41" s="33">
        <f t="shared" si="14"/>
        <v>19</v>
      </c>
      <c r="AV41" s="124">
        <f>+AR41+AT41</f>
        <v>7742</v>
      </c>
      <c r="AW41" s="124">
        <f>+AS41+AU41</f>
        <v>56</v>
      </c>
      <c r="AX41" s="124">
        <f>SUM(AV41:AW41)</f>
        <v>7798</v>
      </c>
    </row>
    <row r="42" spans="2:50">
      <c r="AT42" s="6"/>
    </row>
    <row r="43" spans="2:50" hidden="1">
      <c r="B43" s="35">
        <v>2021</v>
      </c>
      <c r="C43" t="s">
        <v>38</v>
      </c>
    </row>
    <row r="44" spans="2:50" ht="15" hidden="1" customHeight="1">
      <c r="B44" s="348" t="s">
        <v>37</v>
      </c>
      <c r="C44" s="349" t="s">
        <v>38</v>
      </c>
      <c r="D44" s="36"/>
      <c r="E44" s="36"/>
      <c r="F44" s="36"/>
      <c r="G44" s="36"/>
      <c r="H44" s="355" t="s">
        <v>39</v>
      </c>
      <c r="I44" s="355"/>
      <c r="J44" s="356"/>
      <c r="K44" s="72"/>
      <c r="L44" s="357" t="s">
        <v>40</v>
      </c>
      <c r="M44" s="355"/>
      <c r="N44" s="358"/>
      <c r="O44" s="72"/>
      <c r="P44" s="72"/>
      <c r="Q44" s="72"/>
      <c r="R44" s="72"/>
      <c r="S44" s="72"/>
      <c r="T44" s="72"/>
      <c r="U44" s="72"/>
      <c r="V44" s="72"/>
      <c r="W44" s="72"/>
      <c r="X44" s="359" t="s">
        <v>41</v>
      </c>
      <c r="Y44" s="355"/>
      <c r="Z44" s="356"/>
      <c r="AA44" s="72"/>
      <c r="AB44" s="72"/>
      <c r="AC44" s="72"/>
      <c r="AD44" s="72"/>
      <c r="AE44" s="72"/>
      <c r="AF44" s="72"/>
      <c r="AG44" s="72"/>
      <c r="AH44" s="72"/>
      <c r="AI44" s="72"/>
      <c r="AJ44" s="359" t="s">
        <v>43</v>
      </c>
      <c r="AK44" s="355"/>
      <c r="AL44" s="355"/>
      <c r="AM44" s="115"/>
    </row>
    <row r="45" spans="2:50" ht="15" hidden="1" customHeight="1">
      <c r="B45" s="348"/>
      <c r="C45" s="349"/>
      <c r="D45" s="38"/>
      <c r="E45" s="38"/>
      <c r="F45" s="38"/>
      <c r="G45" s="38"/>
      <c r="H45" s="39" t="s">
        <v>44</v>
      </c>
      <c r="I45" s="343" t="s">
        <v>45</v>
      </c>
      <c r="J45" s="352"/>
      <c r="K45" s="75"/>
      <c r="L45" s="39" t="s">
        <v>44</v>
      </c>
      <c r="M45" s="343" t="s">
        <v>45</v>
      </c>
      <c r="N45" s="352"/>
      <c r="O45" s="75"/>
      <c r="P45" s="75"/>
      <c r="Q45" s="75"/>
      <c r="R45" s="75"/>
      <c r="S45" s="75"/>
      <c r="T45" s="75"/>
      <c r="U45" s="75"/>
      <c r="V45" s="75"/>
      <c r="W45" s="75"/>
      <c r="X45" s="39" t="s">
        <v>44</v>
      </c>
      <c r="Y45" s="343" t="s">
        <v>45</v>
      </c>
      <c r="Z45" s="352"/>
      <c r="AA45" s="75"/>
      <c r="AB45" s="75"/>
      <c r="AC45" s="75"/>
      <c r="AD45" s="75"/>
      <c r="AE45" s="75"/>
      <c r="AF45" s="75"/>
      <c r="AG45" s="75"/>
      <c r="AH45" s="75"/>
      <c r="AI45" s="75"/>
      <c r="AJ45" s="39" t="s">
        <v>44</v>
      </c>
      <c r="AK45" s="343" t="s">
        <v>45</v>
      </c>
      <c r="AL45" s="352"/>
      <c r="AM45" s="116"/>
    </row>
    <row r="46" spans="2:50" hidden="1">
      <c r="B46" s="348"/>
      <c r="C46" s="349"/>
      <c r="D46" s="38"/>
      <c r="E46" s="38"/>
      <c r="F46" s="38"/>
      <c r="G46" s="38"/>
      <c r="H46" s="39" t="s">
        <v>47</v>
      </c>
      <c r="I46" s="73" t="s">
        <v>48</v>
      </c>
      <c r="J46" s="74" t="s">
        <v>49</v>
      </c>
      <c r="K46" s="75"/>
      <c r="L46" s="39" t="s">
        <v>47</v>
      </c>
      <c r="M46" s="73" t="s">
        <v>48</v>
      </c>
      <c r="N46" s="74" t="s">
        <v>49</v>
      </c>
      <c r="O46" s="75"/>
      <c r="P46" s="75"/>
      <c r="Q46" s="75"/>
      <c r="R46" s="75"/>
      <c r="S46" s="75"/>
      <c r="T46" s="75"/>
      <c r="U46" s="75"/>
      <c r="V46" s="75"/>
      <c r="W46" s="75"/>
      <c r="X46" s="39" t="s">
        <v>47</v>
      </c>
      <c r="Y46" s="73" t="s">
        <v>48</v>
      </c>
      <c r="Z46" s="74" t="s">
        <v>49</v>
      </c>
      <c r="AA46" s="75"/>
      <c r="AB46" s="75"/>
      <c r="AC46" s="75"/>
      <c r="AD46" s="75"/>
      <c r="AE46" s="75"/>
      <c r="AF46" s="75"/>
      <c r="AG46" s="75"/>
      <c r="AH46" s="75"/>
      <c r="AI46" s="75"/>
      <c r="AJ46" s="39" t="s">
        <v>47</v>
      </c>
      <c r="AK46" s="73" t="s">
        <v>48</v>
      </c>
      <c r="AL46" s="74" t="s">
        <v>49</v>
      </c>
      <c r="AM46" s="116"/>
    </row>
    <row r="47" spans="2:50" hidden="1">
      <c r="B47" s="40"/>
      <c r="C47" s="41"/>
      <c r="D47" s="42"/>
      <c r="E47" s="42"/>
      <c r="F47" s="42"/>
      <c r="G47" s="42"/>
      <c r="H47" s="43"/>
      <c r="I47" s="53"/>
      <c r="J47" s="76"/>
      <c r="K47" s="77"/>
      <c r="L47" s="43"/>
      <c r="M47" s="53"/>
      <c r="N47" s="76"/>
      <c r="O47" s="77"/>
      <c r="P47" s="77"/>
      <c r="Q47" s="77"/>
      <c r="R47" s="77"/>
      <c r="S47" s="77"/>
      <c r="T47" s="77"/>
      <c r="U47" s="77"/>
      <c r="V47" s="77"/>
      <c r="W47" s="77"/>
      <c r="X47" s="43"/>
      <c r="Y47" s="53"/>
      <c r="Z47" s="76"/>
      <c r="AA47" s="77"/>
      <c r="AB47" s="77"/>
      <c r="AC47" s="77"/>
      <c r="AD47" s="77"/>
      <c r="AE47" s="77"/>
      <c r="AF47" s="77"/>
      <c r="AG47" s="77"/>
      <c r="AH47" s="77"/>
      <c r="AI47" s="77"/>
      <c r="AJ47" s="43"/>
      <c r="AK47" s="53"/>
      <c r="AL47" s="76"/>
      <c r="AM47" s="117"/>
    </row>
    <row r="48" spans="2:50" hidden="1">
      <c r="B48" s="40" t="s">
        <v>50</v>
      </c>
      <c r="C48" s="44" t="s">
        <v>51</v>
      </c>
      <c r="D48" s="45"/>
      <c r="E48" s="45"/>
      <c r="F48" s="45"/>
      <c r="G48" s="45"/>
      <c r="H48" s="46">
        <f>SUM(H49:H52)</f>
        <v>31477.5</v>
      </c>
      <c r="I48" s="78">
        <f>SUM(I49:I52)</f>
        <v>61</v>
      </c>
      <c r="J48" s="79">
        <f>SUM(J49:J52)</f>
        <v>0</v>
      </c>
      <c r="K48" s="80"/>
      <c r="L48" s="46">
        <f>SUM(L49:L52)</f>
        <v>343135.4</v>
      </c>
      <c r="M48" s="78">
        <f>SUM(M49:M52)</f>
        <v>69</v>
      </c>
      <c r="N48" s="79">
        <f>SUM(N49:N52)</f>
        <v>0</v>
      </c>
      <c r="O48" s="80"/>
      <c r="P48" s="81"/>
      <c r="Q48" s="81"/>
      <c r="R48" s="81"/>
      <c r="S48" s="81"/>
      <c r="T48" s="81"/>
      <c r="U48" s="81"/>
      <c r="V48" s="81"/>
      <c r="W48" s="81"/>
      <c r="X48" s="46">
        <f t="shared" ref="X48:AL48" si="15">SUM(X49:X52)</f>
        <v>105381.6</v>
      </c>
      <c r="Y48" s="46">
        <f t="shared" si="15"/>
        <v>133</v>
      </c>
      <c r="Z48" s="46">
        <f t="shared" si="15"/>
        <v>0</v>
      </c>
      <c r="AA48" s="46"/>
      <c r="AB48" s="46"/>
      <c r="AC48" s="46"/>
      <c r="AD48" s="46"/>
      <c r="AE48" s="46"/>
      <c r="AF48" s="46"/>
      <c r="AG48" s="46"/>
      <c r="AH48" s="46"/>
      <c r="AI48" s="80"/>
      <c r="AJ48" s="46" t="e">
        <f>SUM(AJ49:AJ52)</f>
        <v>#REF!</v>
      </c>
      <c r="AK48" s="78" t="e">
        <f t="shared" si="15"/>
        <v>#REF!</v>
      </c>
      <c r="AL48" s="79" t="e">
        <f t="shared" si="15"/>
        <v>#REF!</v>
      </c>
      <c r="AM48" s="118"/>
    </row>
    <row r="49" spans="2:39" ht="42.75" hidden="1">
      <c r="B49" s="47">
        <v>1</v>
      </c>
      <c r="C49" s="48" t="s">
        <v>52</v>
      </c>
      <c r="D49" s="49"/>
      <c r="E49" s="49"/>
      <c r="F49" s="49"/>
      <c r="G49" s="49"/>
      <c r="H49" s="50">
        <v>26350.1</v>
      </c>
      <c r="I49" s="82">
        <v>38</v>
      </c>
      <c r="J49" s="83">
        <v>0</v>
      </c>
      <c r="K49" s="84"/>
      <c r="L49" s="56">
        <v>340535.3</v>
      </c>
      <c r="M49" s="47">
        <v>67</v>
      </c>
      <c r="N49" s="85">
        <v>0</v>
      </c>
      <c r="O49" s="86"/>
      <c r="P49" s="87"/>
      <c r="Q49" s="87"/>
      <c r="R49" s="87"/>
      <c r="S49" s="87"/>
      <c r="T49" s="87"/>
      <c r="U49" s="87"/>
      <c r="V49" s="87"/>
      <c r="W49" s="87"/>
      <c r="X49" s="94">
        <v>102735.7</v>
      </c>
      <c r="Y49" s="101">
        <v>106</v>
      </c>
      <c r="Z49" s="102">
        <v>0</v>
      </c>
      <c r="AA49" s="89"/>
      <c r="AB49" s="89"/>
      <c r="AC49" s="89"/>
      <c r="AD49" s="89"/>
      <c r="AE49" s="89"/>
      <c r="AF49" s="89"/>
      <c r="AG49" s="89"/>
      <c r="AH49" s="89"/>
      <c r="AI49" s="86"/>
      <c r="AJ49" s="56" t="e">
        <f>H49+L49+X49+#REF!</f>
        <v>#REF!</v>
      </c>
      <c r="AK49" s="47" t="e">
        <f>I49+M49+Y49+#REF!</f>
        <v>#REF!</v>
      </c>
      <c r="AL49" s="85" t="e">
        <f>J49+N49+Z49+#REF!</f>
        <v>#REF!</v>
      </c>
      <c r="AM49" s="119"/>
    </row>
    <row r="50" spans="2:39" hidden="1">
      <c r="B50" s="47">
        <v>3</v>
      </c>
      <c r="C50" s="48" t="s">
        <v>53</v>
      </c>
      <c r="D50" s="49"/>
      <c r="E50" s="49"/>
      <c r="F50" s="49"/>
      <c r="G50" s="49"/>
      <c r="H50" s="50">
        <v>0</v>
      </c>
      <c r="I50" s="82">
        <v>0</v>
      </c>
      <c r="J50" s="83">
        <v>0</v>
      </c>
      <c r="K50" s="84"/>
      <c r="L50" s="50">
        <v>1021.2</v>
      </c>
      <c r="M50" s="82"/>
      <c r="N50" s="83"/>
      <c r="O50" s="84"/>
      <c r="P50" s="88"/>
      <c r="Q50" s="88"/>
      <c r="R50" s="88"/>
      <c r="S50" s="88"/>
      <c r="T50" s="88"/>
      <c r="U50" s="88"/>
      <c r="V50" s="88"/>
      <c r="W50" s="88"/>
      <c r="X50" s="95">
        <v>234.8</v>
      </c>
      <c r="Y50" s="103">
        <v>0</v>
      </c>
      <c r="Z50" s="104">
        <v>0</v>
      </c>
      <c r="AA50" s="105"/>
      <c r="AB50" s="105"/>
      <c r="AC50" s="105"/>
      <c r="AD50" s="105"/>
      <c r="AE50" s="105"/>
      <c r="AF50" s="105"/>
      <c r="AG50" s="105"/>
      <c r="AH50" s="105"/>
      <c r="AI50" s="120"/>
      <c r="AJ50" s="56" t="e">
        <f>H50+L50+X50+#REF!</f>
        <v>#REF!</v>
      </c>
      <c r="AK50" s="47" t="e">
        <f>I50+M50+Y50+#REF!</f>
        <v>#REF!</v>
      </c>
      <c r="AL50" s="85" t="e">
        <f>J50+N50+Z50+#REF!</f>
        <v>#REF!</v>
      </c>
      <c r="AM50" s="119"/>
    </row>
    <row r="51" spans="2:39" hidden="1">
      <c r="B51" s="47">
        <v>4</v>
      </c>
      <c r="C51" s="48" t="s">
        <v>54</v>
      </c>
      <c r="D51" s="49"/>
      <c r="E51" s="49"/>
      <c r="F51" s="49"/>
      <c r="G51" s="49"/>
      <c r="H51" s="50">
        <v>0</v>
      </c>
      <c r="I51" s="82">
        <v>0</v>
      </c>
      <c r="J51" s="83">
        <v>0</v>
      </c>
      <c r="K51" s="84"/>
      <c r="L51" s="50"/>
      <c r="M51" s="82"/>
      <c r="N51" s="83"/>
      <c r="O51" s="84"/>
      <c r="P51" s="88"/>
      <c r="Q51" s="88"/>
      <c r="R51" s="88"/>
      <c r="S51" s="88"/>
      <c r="T51" s="88"/>
      <c r="U51" s="88"/>
      <c r="V51" s="88"/>
      <c r="W51" s="88"/>
      <c r="X51" s="95"/>
      <c r="Y51" s="103"/>
      <c r="Z51" s="104"/>
      <c r="AA51" s="105"/>
      <c r="AB51" s="105"/>
      <c r="AC51" s="105"/>
      <c r="AD51" s="105"/>
      <c r="AE51" s="105"/>
      <c r="AF51" s="105"/>
      <c r="AG51" s="105"/>
      <c r="AH51" s="105"/>
      <c r="AI51" s="120"/>
      <c r="AJ51" s="56" t="e">
        <f>H51+L51+X51+#REF!</f>
        <v>#REF!</v>
      </c>
      <c r="AK51" s="47" t="e">
        <f>I51+M51+Y51+#REF!</f>
        <v>#REF!</v>
      </c>
      <c r="AL51" s="85" t="e">
        <f>J51+N51+Z51+#REF!</f>
        <v>#REF!</v>
      </c>
      <c r="AM51" s="119"/>
    </row>
    <row r="52" spans="2:39" hidden="1">
      <c r="B52" s="47">
        <v>5</v>
      </c>
      <c r="C52" s="48" t="s">
        <v>55</v>
      </c>
      <c r="D52" s="49"/>
      <c r="E52" s="49"/>
      <c r="F52" s="49"/>
      <c r="G52" s="49"/>
      <c r="H52" s="50">
        <v>5127.3999999999996</v>
      </c>
      <c r="I52" s="82">
        <v>23</v>
      </c>
      <c r="J52" s="83">
        <v>0</v>
      </c>
      <c r="K52" s="84"/>
      <c r="L52" s="50">
        <v>1578.9</v>
      </c>
      <c r="M52" s="82">
        <v>2</v>
      </c>
      <c r="N52" s="83">
        <v>0</v>
      </c>
      <c r="O52" s="84"/>
      <c r="P52" s="88"/>
      <c r="Q52" s="88"/>
      <c r="R52" s="88"/>
      <c r="S52" s="88"/>
      <c r="T52" s="88"/>
      <c r="U52" s="88"/>
      <c r="V52" s="88"/>
      <c r="W52" s="88"/>
      <c r="X52" s="95">
        <v>2411.1</v>
      </c>
      <c r="Y52" s="103">
        <v>27</v>
      </c>
      <c r="Z52" s="104">
        <v>0</v>
      </c>
      <c r="AA52" s="105"/>
      <c r="AB52" s="105"/>
      <c r="AC52" s="105"/>
      <c r="AD52" s="105"/>
      <c r="AE52" s="105"/>
      <c r="AF52" s="105"/>
      <c r="AG52" s="105"/>
      <c r="AH52" s="105"/>
      <c r="AI52" s="120"/>
      <c r="AJ52" s="56" t="e">
        <f>H52+L52+X52+#REF!</f>
        <v>#REF!</v>
      </c>
      <c r="AK52" s="47" t="e">
        <f>I52+M52+Y52+#REF!</f>
        <v>#REF!</v>
      </c>
      <c r="AL52" s="85" t="e">
        <f>J52+N52+Z52+#REF!</f>
        <v>#REF!</v>
      </c>
      <c r="AM52" s="119"/>
    </row>
    <row r="53" spans="2:39" hidden="1">
      <c r="B53" s="51"/>
      <c r="C53" s="48"/>
      <c r="D53" s="49"/>
      <c r="E53" s="49"/>
      <c r="F53" s="49"/>
      <c r="G53" s="49"/>
      <c r="H53" s="52"/>
      <c r="I53" s="47"/>
      <c r="J53" s="85"/>
      <c r="K53" s="86"/>
      <c r="L53" s="52"/>
      <c r="M53" s="47"/>
      <c r="N53" s="85"/>
      <c r="O53" s="86"/>
      <c r="P53" s="89"/>
      <c r="Q53" s="89"/>
      <c r="R53" s="89"/>
      <c r="S53" s="89"/>
      <c r="T53" s="89"/>
      <c r="U53" s="89"/>
      <c r="V53" s="89"/>
      <c r="W53" s="89"/>
      <c r="X53" s="56"/>
      <c r="Y53" s="101"/>
      <c r="Z53" s="102"/>
      <c r="AA53" s="89"/>
      <c r="AB53" s="89"/>
      <c r="AC53" s="89"/>
      <c r="AD53" s="89"/>
      <c r="AE53" s="89"/>
      <c r="AF53" s="89"/>
      <c r="AG53" s="89"/>
      <c r="AH53" s="89"/>
      <c r="AI53" s="121"/>
      <c r="AJ53" s="52"/>
      <c r="AK53" s="47"/>
      <c r="AL53" s="85"/>
      <c r="AM53" s="119"/>
    </row>
    <row r="54" spans="2:39" ht="30" hidden="1">
      <c r="B54" s="53" t="s">
        <v>56</v>
      </c>
      <c r="C54" s="54" t="s">
        <v>57</v>
      </c>
      <c r="D54" s="55"/>
      <c r="E54" s="55"/>
      <c r="F54" s="55"/>
      <c r="G54" s="55"/>
      <c r="H54" s="46">
        <f>SUM(H55:H66)</f>
        <v>521541.7</v>
      </c>
      <c r="I54" s="78">
        <f>SUM(I55:I66)</f>
        <v>108</v>
      </c>
      <c r="J54" s="79">
        <f>SUM(J55:J66)</f>
        <v>0</v>
      </c>
      <c r="K54" s="80"/>
      <c r="L54" s="46">
        <f>SUM(L55:L66)</f>
        <v>132874</v>
      </c>
      <c r="M54" s="78">
        <f>SUM(M55:M66)</f>
        <v>66</v>
      </c>
      <c r="N54" s="79">
        <f>SUM(N55:N66)</f>
        <v>0</v>
      </c>
      <c r="O54" s="80"/>
      <c r="P54" s="81"/>
      <c r="Q54" s="81"/>
      <c r="R54" s="81"/>
      <c r="S54" s="81"/>
      <c r="T54" s="81"/>
      <c r="U54" s="81"/>
      <c r="V54" s="81"/>
      <c r="W54" s="81"/>
      <c r="X54" s="46">
        <f t="shared" ref="X54:AL54" si="16">SUM(X55:X66)</f>
        <v>51384.5</v>
      </c>
      <c r="Y54" s="46">
        <f t="shared" si="16"/>
        <v>36</v>
      </c>
      <c r="Z54" s="46">
        <f t="shared" si="16"/>
        <v>0</v>
      </c>
      <c r="AA54" s="46"/>
      <c r="AB54" s="46"/>
      <c r="AC54" s="46"/>
      <c r="AD54" s="46"/>
      <c r="AE54" s="46"/>
      <c r="AF54" s="46"/>
      <c r="AG54" s="46"/>
      <c r="AH54" s="46"/>
      <c r="AI54" s="122"/>
      <c r="AJ54" s="46" t="e">
        <f>SUM(AJ55:AJ66)</f>
        <v>#REF!</v>
      </c>
      <c r="AK54" s="78" t="e">
        <f t="shared" si="16"/>
        <v>#REF!</v>
      </c>
      <c r="AL54" s="79" t="e">
        <f t="shared" si="16"/>
        <v>#REF!</v>
      </c>
      <c r="AM54" s="118"/>
    </row>
    <row r="55" spans="2:39" hidden="1">
      <c r="B55" s="47">
        <v>6</v>
      </c>
      <c r="C55" s="48" t="s">
        <v>58</v>
      </c>
      <c r="D55" s="49"/>
      <c r="E55" s="49"/>
      <c r="F55" s="49"/>
      <c r="G55" s="49"/>
      <c r="H55" s="50">
        <v>152910.79999999999</v>
      </c>
      <c r="I55" s="82">
        <v>70</v>
      </c>
      <c r="J55" s="83">
        <v>0</v>
      </c>
      <c r="K55" s="84"/>
      <c r="L55" s="50">
        <v>129599.6</v>
      </c>
      <c r="M55" s="82">
        <v>40</v>
      </c>
      <c r="N55" s="83">
        <v>0</v>
      </c>
      <c r="O55" s="84"/>
      <c r="P55" s="88"/>
      <c r="Q55" s="88"/>
      <c r="R55" s="88"/>
      <c r="S55" s="88"/>
      <c r="T55" s="88"/>
      <c r="U55" s="88"/>
      <c r="V55" s="88"/>
      <c r="W55" s="88"/>
      <c r="X55" s="95">
        <v>18079.900000000001</v>
      </c>
      <c r="Y55" s="103">
        <v>0</v>
      </c>
      <c r="Z55" s="104">
        <v>0</v>
      </c>
      <c r="AA55" s="105"/>
      <c r="AB55" s="105"/>
      <c r="AC55" s="105"/>
      <c r="AD55" s="105"/>
      <c r="AE55" s="105"/>
      <c r="AF55" s="105"/>
      <c r="AG55" s="105"/>
      <c r="AH55" s="105"/>
      <c r="AI55" s="120"/>
      <c r="AJ55" s="56" t="e">
        <f>H55+L55+X55+#REF!</f>
        <v>#REF!</v>
      </c>
      <c r="AK55" s="47" t="e">
        <f>I55+M55+Y55+#REF!</f>
        <v>#REF!</v>
      </c>
      <c r="AL55" s="85" t="e">
        <f>J55+N55+Z55+#REF!</f>
        <v>#REF!</v>
      </c>
      <c r="AM55" s="119"/>
    </row>
    <row r="56" spans="2:39" hidden="1">
      <c r="B56" s="47">
        <v>7</v>
      </c>
      <c r="C56" s="48" t="s">
        <v>59</v>
      </c>
      <c r="D56" s="49"/>
      <c r="E56" s="49"/>
      <c r="F56" s="49"/>
      <c r="G56" s="49"/>
      <c r="H56" s="50">
        <v>0</v>
      </c>
      <c r="I56" s="82">
        <v>0</v>
      </c>
      <c r="J56" s="83">
        <v>0</v>
      </c>
      <c r="K56" s="84"/>
      <c r="L56" s="50"/>
      <c r="M56" s="82"/>
      <c r="N56" s="83"/>
      <c r="O56" s="84"/>
      <c r="P56" s="88"/>
      <c r="Q56" s="88"/>
      <c r="R56" s="88"/>
      <c r="S56" s="88"/>
      <c r="T56" s="88"/>
      <c r="U56" s="88"/>
      <c r="V56" s="88"/>
      <c r="W56" s="88"/>
      <c r="X56" s="95"/>
      <c r="Y56" s="103"/>
      <c r="Z56" s="104"/>
      <c r="AA56" s="105"/>
      <c r="AB56" s="105"/>
      <c r="AC56" s="105"/>
      <c r="AD56" s="105"/>
      <c r="AE56" s="105"/>
      <c r="AF56" s="105"/>
      <c r="AG56" s="105"/>
      <c r="AH56" s="105"/>
      <c r="AI56" s="120"/>
      <c r="AJ56" s="56" t="e">
        <f>H56+L56+X56+#REF!</f>
        <v>#REF!</v>
      </c>
      <c r="AK56" s="47" t="e">
        <f>I56+M56+Y56+#REF!</f>
        <v>#REF!</v>
      </c>
      <c r="AL56" s="85" t="e">
        <f>J56+N56+Z56+#REF!</f>
        <v>#REF!</v>
      </c>
      <c r="AM56" s="119"/>
    </row>
    <row r="57" spans="2:39" ht="28.5" hidden="1">
      <c r="B57" s="47">
        <v>8</v>
      </c>
      <c r="C57" s="48" t="s">
        <v>60</v>
      </c>
      <c r="D57" s="49"/>
      <c r="E57" s="49"/>
      <c r="F57" s="49"/>
      <c r="G57" s="49"/>
      <c r="H57" s="56">
        <v>102.8</v>
      </c>
      <c r="I57" s="47">
        <v>0</v>
      </c>
      <c r="J57" s="85">
        <v>0</v>
      </c>
      <c r="K57" s="86"/>
      <c r="L57" s="50">
        <v>171.9</v>
      </c>
      <c r="M57" s="82">
        <v>0</v>
      </c>
      <c r="N57" s="83">
        <v>0</v>
      </c>
      <c r="O57" s="84"/>
      <c r="P57" s="88"/>
      <c r="Q57" s="88"/>
      <c r="R57" s="88"/>
      <c r="S57" s="88"/>
      <c r="T57" s="88"/>
      <c r="U57" s="88"/>
      <c r="V57" s="88"/>
      <c r="W57" s="88"/>
      <c r="X57" s="95"/>
      <c r="Y57" s="103"/>
      <c r="Z57" s="104"/>
      <c r="AA57" s="105"/>
      <c r="AB57" s="105"/>
      <c r="AC57" s="105"/>
      <c r="AD57" s="105"/>
      <c r="AE57" s="105"/>
      <c r="AF57" s="105"/>
      <c r="AG57" s="105"/>
      <c r="AH57" s="105"/>
      <c r="AI57" s="120"/>
      <c r="AJ57" s="56" t="e">
        <f>H57+L57+X57+#REF!</f>
        <v>#REF!</v>
      </c>
      <c r="AK57" s="47" t="e">
        <f>I57+M57+Y57+#REF!</f>
        <v>#REF!</v>
      </c>
      <c r="AL57" s="85" t="e">
        <f>J57+N57+Z57+#REF!</f>
        <v>#REF!</v>
      </c>
      <c r="AM57" s="119"/>
    </row>
    <row r="58" spans="2:39" hidden="1">
      <c r="B58" s="47">
        <v>9</v>
      </c>
      <c r="C58" s="48" t="s">
        <v>61</v>
      </c>
      <c r="D58" s="49"/>
      <c r="E58" s="49"/>
      <c r="F58" s="49"/>
      <c r="G58" s="49"/>
      <c r="H58" s="56">
        <v>2343</v>
      </c>
      <c r="I58" s="47">
        <v>0</v>
      </c>
      <c r="J58" s="85">
        <v>0</v>
      </c>
      <c r="K58" s="86"/>
      <c r="L58" s="50">
        <v>537</v>
      </c>
      <c r="M58" s="82">
        <v>0</v>
      </c>
      <c r="N58" s="83">
        <v>0</v>
      </c>
      <c r="O58" s="84"/>
      <c r="P58" s="90"/>
      <c r="Q58" s="90"/>
      <c r="R58" s="90"/>
      <c r="S58" s="90"/>
      <c r="T58" s="90"/>
      <c r="U58" s="90"/>
      <c r="V58" s="90"/>
      <c r="W58" s="90"/>
      <c r="X58" s="96">
        <v>1934.8</v>
      </c>
      <c r="Y58" s="106">
        <v>5</v>
      </c>
      <c r="Z58" s="107">
        <v>0</v>
      </c>
      <c r="AA58" s="91"/>
      <c r="AB58" s="91"/>
      <c r="AC58" s="91"/>
      <c r="AD58" s="91"/>
      <c r="AE58" s="91"/>
      <c r="AF58" s="91"/>
      <c r="AG58" s="91"/>
      <c r="AH58" s="91"/>
      <c r="AI58" s="120"/>
      <c r="AJ58" s="56" t="e">
        <f>H58+L58+X58+#REF!</f>
        <v>#REF!</v>
      </c>
      <c r="AK58" s="47" t="e">
        <f>I58+M58+Y58+#REF!</f>
        <v>#REF!</v>
      </c>
      <c r="AL58" s="85" t="e">
        <f>J58+N58+Z58+#REF!</f>
        <v>#REF!</v>
      </c>
      <c r="AM58" s="119"/>
    </row>
    <row r="59" spans="2:39" ht="28.5" hidden="1">
      <c r="B59" s="47">
        <v>10</v>
      </c>
      <c r="C59" s="48" t="s">
        <v>62</v>
      </c>
      <c r="D59" s="49"/>
      <c r="E59" s="49"/>
      <c r="F59" s="49"/>
      <c r="G59" s="49"/>
      <c r="H59" s="50">
        <v>0</v>
      </c>
      <c r="I59" s="82">
        <v>0</v>
      </c>
      <c r="J59" s="83">
        <v>0</v>
      </c>
      <c r="K59" s="84"/>
      <c r="L59" s="50"/>
      <c r="M59" s="82"/>
      <c r="N59" s="83"/>
      <c r="O59" s="84"/>
      <c r="P59" s="90"/>
      <c r="Q59" s="90"/>
      <c r="R59" s="90"/>
      <c r="S59" s="90"/>
      <c r="T59" s="90"/>
      <c r="U59" s="90"/>
      <c r="V59" s="90"/>
      <c r="W59" s="90"/>
      <c r="X59" s="96">
        <v>0</v>
      </c>
      <c r="Y59" s="108">
        <v>13</v>
      </c>
      <c r="Z59" s="107">
        <v>0</v>
      </c>
      <c r="AA59" s="91"/>
      <c r="AB59" s="91"/>
      <c r="AC59" s="91"/>
      <c r="AD59" s="91"/>
      <c r="AE59" s="91"/>
      <c r="AF59" s="91"/>
      <c r="AG59" s="91"/>
      <c r="AH59" s="91"/>
      <c r="AI59" s="120"/>
      <c r="AJ59" s="56" t="e">
        <f>H59+L59+X59+#REF!</f>
        <v>#REF!</v>
      </c>
      <c r="AK59" s="47" t="e">
        <f>I59+M59+Y59+#REF!</f>
        <v>#REF!</v>
      </c>
      <c r="AL59" s="85" t="e">
        <f>J59+N59+Z59+#REF!</f>
        <v>#REF!</v>
      </c>
      <c r="AM59" s="119"/>
    </row>
    <row r="60" spans="2:39" ht="28.5" hidden="1">
      <c r="B60" s="47">
        <v>11</v>
      </c>
      <c r="C60" s="48" t="s">
        <v>63</v>
      </c>
      <c r="D60" s="49"/>
      <c r="E60" s="49"/>
      <c r="F60" s="49"/>
      <c r="G60" s="49"/>
      <c r="H60" s="50">
        <v>6046</v>
      </c>
      <c r="I60" s="82">
        <v>31</v>
      </c>
      <c r="J60" s="83">
        <v>0</v>
      </c>
      <c r="K60" s="84"/>
      <c r="L60" s="50">
        <v>95</v>
      </c>
      <c r="M60" s="82">
        <v>0</v>
      </c>
      <c r="N60" s="83">
        <v>0</v>
      </c>
      <c r="O60" s="84"/>
      <c r="P60" s="90"/>
      <c r="Q60" s="90"/>
      <c r="R60" s="90"/>
      <c r="S60" s="90"/>
      <c r="T60" s="90"/>
      <c r="U60" s="90"/>
      <c r="V60" s="90"/>
      <c r="W60" s="90"/>
      <c r="X60" s="96">
        <v>95</v>
      </c>
      <c r="Y60" s="106">
        <v>0</v>
      </c>
      <c r="Z60" s="107">
        <v>0</v>
      </c>
      <c r="AA60" s="91"/>
      <c r="AB60" s="91"/>
      <c r="AC60" s="91"/>
      <c r="AD60" s="91"/>
      <c r="AE60" s="91"/>
      <c r="AF60" s="91"/>
      <c r="AG60" s="91"/>
      <c r="AH60" s="91"/>
      <c r="AI60" s="120"/>
      <c r="AJ60" s="56" t="e">
        <f>H60+L60+X60+#REF!</f>
        <v>#REF!</v>
      </c>
      <c r="AK60" s="47" t="e">
        <f>I60+M60+Y60+#REF!</f>
        <v>#REF!</v>
      </c>
      <c r="AL60" s="85" t="e">
        <f>J60+N60+Z60+#REF!</f>
        <v>#REF!</v>
      </c>
      <c r="AM60" s="119"/>
    </row>
    <row r="61" spans="2:39" ht="28.5" hidden="1">
      <c r="B61" s="47">
        <v>12</v>
      </c>
      <c r="C61" s="48" t="s">
        <v>64</v>
      </c>
      <c r="D61" s="49"/>
      <c r="E61" s="49"/>
      <c r="F61" s="49"/>
      <c r="G61" s="49"/>
      <c r="H61" s="50">
        <v>339169.7</v>
      </c>
      <c r="I61" s="82">
        <v>5</v>
      </c>
      <c r="J61" s="83">
        <v>0</v>
      </c>
      <c r="K61" s="84"/>
      <c r="L61" s="50">
        <v>174.3</v>
      </c>
      <c r="M61" s="82">
        <v>0</v>
      </c>
      <c r="N61" s="83">
        <v>0</v>
      </c>
      <c r="O61" s="84"/>
      <c r="P61" s="90"/>
      <c r="Q61" s="90"/>
      <c r="R61" s="90"/>
      <c r="S61" s="90"/>
      <c r="T61" s="90"/>
      <c r="U61" s="90"/>
      <c r="V61" s="90"/>
      <c r="W61" s="90"/>
      <c r="X61" s="96">
        <v>2586.6999999999998</v>
      </c>
      <c r="Y61" s="106">
        <v>3</v>
      </c>
      <c r="Z61" s="107">
        <v>0</v>
      </c>
      <c r="AA61" s="91"/>
      <c r="AB61" s="91"/>
      <c r="AC61" s="91"/>
      <c r="AD61" s="91"/>
      <c r="AE61" s="91"/>
      <c r="AF61" s="91"/>
      <c r="AG61" s="91"/>
      <c r="AH61" s="91"/>
      <c r="AI61" s="120"/>
      <c r="AJ61" s="56" t="e">
        <f>H61+L61+X61+#REF!</f>
        <v>#REF!</v>
      </c>
      <c r="AK61" s="47" t="e">
        <f>I61+M61+Y61+#REF!</f>
        <v>#REF!</v>
      </c>
      <c r="AL61" s="85" t="e">
        <f>J61+N61+Z61+#REF!</f>
        <v>#REF!</v>
      </c>
      <c r="AM61" s="119"/>
    </row>
    <row r="62" spans="2:39" ht="28.5" hidden="1">
      <c r="B62" s="47">
        <v>13</v>
      </c>
      <c r="C62" s="48" t="s">
        <v>65</v>
      </c>
      <c r="D62" s="49"/>
      <c r="E62" s="49"/>
      <c r="F62" s="49"/>
      <c r="G62" s="49"/>
      <c r="H62" s="50">
        <v>20349</v>
      </c>
      <c r="I62" s="82">
        <v>2</v>
      </c>
      <c r="J62" s="83">
        <v>0</v>
      </c>
      <c r="K62" s="84"/>
      <c r="L62" s="50">
        <v>1996.2</v>
      </c>
      <c r="M62" s="82">
        <v>21</v>
      </c>
      <c r="N62" s="83">
        <v>0</v>
      </c>
      <c r="O62" s="84"/>
      <c r="P62" s="90"/>
      <c r="Q62" s="90"/>
      <c r="R62" s="90"/>
      <c r="S62" s="90"/>
      <c r="T62" s="90"/>
      <c r="U62" s="90"/>
      <c r="V62" s="90"/>
      <c r="W62" s="90"/>
      <c r="X62" s="96">
        <v>28618</v>
      </c>
      <c r="Y62" s="106">
        <v>14</v>
      </c>
      <c r="Z62" s="107">
        <v>0</v>
      </c>
      <c r="AA62" s="91"/>
      <c r="AB62" s="91"/>
      <c r="AC62" s="91"/>
      <c r="AD62" s="91"/>
      <c r="AE62" s="91"/>
      <c r="AF62" s="91"/>
      <c r="AG62" s="91"/>
      <c r="AH62" s="91"/>
      <c r="AI62" s="120"/>
      <c r="AJ62" s="56" t="e">
        <f>H62+L62+X62+#REF!</f>
        <v>#REF!</v>
      </c>
      <c r="AK62" s="47" t="e">
        <f>I62+M62+Y62+#REF!</f>
        <v>#REF!</v>
      </c>
      <c r="AL62" s="85" t="e">
        <f>J62+N62+Z62+#REF!</f>
        <v>#REF!</v>
      </c>
      <c r="AM62" s="119"/>
    </row>
    <row r="63" spans="2:39" ht="42.75" hidden="1">
      <c r="B63" s="47">
        <v>14</v>
      </c>
      <c r="C63" s="48" t="s">
        <v>67</v>
      </c>
      <c r="D63" s="49"/>
      <c r="E63" s="49"/>
      <c r="F63" s="49"/>
      <c r="G63" s="49"/>
      <c r="H63" s="56">
        <v>620.4</v>
      </c>
      <c r="I63" s="47">
        <v>0</v>
      </c>
      <c r="J63" s="85">
        <v>0</v>
      </c>
      <c r="K63" s="86"/>
      <c r="L63" s="50"/>
      <c r="M63" s="82"/>
      <c r="N63" s="83"/>
      <c r="O63" s="84"/>
      <c r="P63" s="91"/>
      <c r="Q63" s="91"/>
      <c r="R63" s="91"/>
      <c r="S63" s="91"/>
      <c r="T63" s="91"/>
      <c r="U63" s="91"/>
      <c r="V63" s="91"/>
      <c r="W63" s="91"/>
      <c r="X63" s="97"/>
      <c r="Y63" s="106"/>
      <c r="Z63" s="107"/>
      <c r="AA63" s="91"/>
      <c r="AB63" s="91"/>
      <c r="AC63" s="91"/>
      <c r="AD63" s="91"/>
      <c r="AE63" s="91"/>
      <c r="AF63" s="91"/>
      <c r="AG63" s="91"/>
      <c r="AH63" s="91"/>
      <c r="AI63" s="120"/>
      <c r="AJ63" s="56" t="e">
        <f>H63+L63+X63+#REF!</f>
        <v>#REF!</v>
      </c>
      <c r="AK63" s="47" t="e">
        <f>I63+M63+Y63+#REF!</f>
        <v>#REF!</v>
      </c>
      <c r="AL63" s="85" t="e">
        <f>J63+N63+Z63+#REF!</f>
        <v>#REF!</v>
      </c>
      <c r="AM63" s="119"/>
    </row>
    <row r="64" spans="2:39" ht="42.75" hidden="1">
      <c r="B64" s="47">
        <v>15</v>
      </c>
      <c r="C64" s="48" t="s">
        <v>68</v>
      </c>
      <c r="D64" s="49"/>
      <c r="E64" s="49"/>
      <c r="F64" s="49"/>
      <c r="G64" s="49"/>
      <c r="H64" s="56">
        <v>0</v>
      </c>
      <c r="I64" s="47">
        <v>0</v>
      </c>
      <c r="J64" s="85">
        <v>0</v>
      </c>
      <c r="K64" s="86"/>
      <c r="L64" s="50"/>
      <c r="M64" s="82"/>
      <c r="N64" s="83"/>
      <c r="O64" s="84"/>
      <c r="P64" s="91"/>
      <c r="Q64" s="91"/>
      <c r="R64" s="91"/>
      <c r="S64" s="91"/>
      <c r="T64" s="91"/>
      <c r="U64" s="91"/>
      <c r="V64" s="91"/>
      <c r="W64" s="91"/>
      <c r="X64" s="97"/>
      <c r="Y64" s="106"/>
      <c r="Z64" s="107"/>
      <c r="AA64" s="91"/>
      <c r="AB64" s="91"/>
      <c r="AC64" s="91"/>
      <c r="AD64" s="91"/>
      <c r="AE64" s="91"/>
      <c r="AF64" s="91"/>
      <c r="AG64" s="91"/>
      <c r="AH64" s="91"/>
      <c r="AI64" s="120"/>
      <c r="AJ64" s="56" t="e">
        <f>H64+L64+X64+#REF!</f>
        <v>#REF!</v>
      </c>
      <c r="AK64" s="47" t="e">
        <f>I64+M64+Y64+#REF!</f>
        <v>#REF!</v>
      </c>
      <c r="AL64" s="85" t="e">
        <f>J64+N64+Z64+#REF!</f>
        <v>#REF!</v>
      </c>
      <c r="AM64" s="119"/>
    </row>
    <row r="65" spans="2:39" ht="42.75" hidden="1">
      <c r="B65" s="47">
        <v>16</v>
      </c>
      <c r="C65" s="48" t="s">
        <v>69</v>
      </c>
      <c r="D65" s="49"/>
      <c r="E65" s="49"/>
      <c r="F65" s="49"/>
      <c r="G65" s="49"/>
      <c r="H65" s="50">
        <v>0</v>
      </c>
      <c r="I65" s="82">
        <v>0</v>
      </c>
      <c r="J65" s="83">
        <v>0</v>
      </c>
      <c r="K65" s="84"/>
      <c r="L65" s="50"/>
      <c r="M65" s="82"/>
      <c r="N65" s="83"/>
      <c r="O65" s="84"/>
      <c r="P65" s="91"/>
      <c r="Q65" s="91"/>
      <c r="R65" s="91"/>
      <c r="S65" s="91"/>
      <c r="T65" s="91"/>
      <c r="U65" s="91"/>
      <c r="V65" s="91"/>
      <c r="W65" s="91"/>
      <c r="X65" s="97"/>
      <c r="Y65" s="106"/>
      <c r="Z65" s="107"/>
      <c r="AA65" s="91"/>
      <c r="AB65" s="91"/>
      <c r="AC65" s="91"/>
      <c r="AD65" s="91"/>
      <c r="AE65" s="91"/>
      <c r="AF65" s="91"/>
      <c r="AG65" s="91"/>
      <c r="AH65" s="91"/>
      <c r="AI65" s="120"/>
      <c r="AJ65" s="56" t="e">
        <f>H65+L65+X65+#REF!</f>
        <v>#REF!</v>
      </c>
      <c r="AK65" s="47" t="e">
        <f>I65+M65+Y65+#REF!</f>
        <v>#REF!</v>
      </c>
      <c r="AL65" s="85" t="e">
        <f>J65+N65+Z65+#REF!</f>
        <v>#REF!</v>
      </c>
      <c r="AM65" s="119"/>
    </row>
    <row r="66" spans="2:39" hidden="1">
      <c r="B66" s="47">
        <v>17</v>
      </c>
      <c r="C66" s="48" t="s">
        <v>70</v>
      </c>
      <c r="D66" s="49"/>
      <c r="E66" s="49"/>
      <c r="F66" s="49"/>
      <c r="G66" s="49"/>
      <c r="H66" s="50">
        <v>0</v>
      </c>
      <c r="I66" s="82">
        <v>0</v>
      </c>
      <c r="J66" s="83">
        <v>0</v>
      </c>
      <c r="K66" s="84"/>
      <c r="L66" s="56">
        <v>300</v>
      </c>
      <c r="M66" s="47">
        <v>5</v>
      </c>
      <c r="N66" s="85">
        <v>0</v>
      </c>
      <c r="O66" s="86"/>
      <c r="P66" s="130"/>
      <c r="Q66" s="130"/>
      <c r="R66" s="130"/>
      <c r="S66" s="130"/>
      <c r="T66" s="130"/>
      <c r="U66" s="130"/>
      <c r="V66" s="130"/>
      <c r="W66" s="130"/>
      <c r="X66" s="147">
        <v>70.099999999999994</v>
      </c>
      <c r="Y66" s="151">
        <v>1</v>
      </c>
      <c r="Z66" s="152">
        <v>0</v>
      </c>
      <c r="AA66" s="131"/>
      <c r="AB66" s="131"/>
      <c r="AC66" s="131"/>
      <c r="AD66" s="131"/>
      <c r="AE66" s="131"/>
      <c r="AF66" s="131"/>
      <c r="AG66" s="131"/>
      <c r="AH66" s="131"/>
      <c r="AI66" s="121"/>
      <c r="AJ66" s="56" t="e">
        <f>H66+L66+X66+#REF!</f>
        <v>#REF!</v>
      </c>
      <c r="AK66" s="47" t="e">
        <f>I66+M66+Y66+#REF!</f>
        <v>#REF!</v>
      </c>
      <c r="AL66" s="85" t="e">
        <f>J66+N66+Z66+#REF!</f>
        <v>#REF!</v>
      </c>
      <c r="AM66" s="119"/>
    </row>
    <row r="67" spans="2:39" hidden="1">
      <c r="B67" s="51"/>
      <c r="C67" s="48"/>
      <c r="D67" s="49"/>
      <c r="E67" s="49"/>
      <c r="F67" s="49"/>
      <c r="G67" s="49"/>
      <c r="H67" s="52"/>
      <c r="I67" s="47"/>
      <c r="J67" s="85"/>
      <c r="K67" s="86"/>
      <c r="L67" s="52"/>
      <c r="M67" s="47"/>
      <c r="N67" s="85"/>
      <c r="O67" s="86"/>
      <c r="P67" s="131"/>
      <c r="Q67" s="131"/>
      <c r="R67" s="131"/>
      <c r="S67" s="131"/>
      <c r="T67" s="131"/>
      <c r="U67" s="131"/>
      <c r="V67" s="131"/>
      <c r="W67" s="131"/>
      <c r="X67" s="148"/>
      <c r="Y67" s="153"/>
      <c r="Z67" s="152"/>
      <c r="AA67" s="131"/>
      <c r="AB67" s="131"/>
      <c r="AC67" s="131"/>
      <c r="AD67" s="131"/>
      <c r="AE67" s="131"/>
      <c r="AF67" s="131"/>
      <c r="AG67" s="131"/>
      <c r="AH67" s="131"/>
      <c r="AI67" s="121"/>
      <c r="AJ67" s="52"/>
      <c r="AK67" s="47"/>
      <c r="AL67" s="85"/>
      <c r="AM67" s="119"/>
    </row>
    <row r="68" spans="2:39" ht="30" hidden="1">
      <c r="B68" s="53" t="s">
        <v>71</v>
      </c>
      <c r="C68" s="54" t="s">
        <v>72</v>
      </c>
      <c r="D68" s="55"/>
      <c r="E68" s="55"/>
      <c r="F68" s="55"/>
      <c r="G68" s="55"/>
      <c r="H68" s="46">
        <f>SUM(H69:H75)</f>
        <v>865051.2</v>
      </c>
      <c r="I68" s="78">
        <f>SUM(I69:I75)</f>
        <v>2126</v>
      </c>
      <c r="J68" s="79">
        <f>SUM(J69:J75)</f>
        <v>0</v>
      </c>
      <c r="K68" s="80"/>
      <c r="L68" s="46">
        <f>SUM(L69:L75)</f>
        <v>747467.1</v>
      </c>
      <c r="M68" s="78">
        <f>SUM(M69:M75)</f>
        <v>309</v>
      </c>
      <c r="N68" s="79">
        <f>SUM(N69:N75)</f>
        <v>0</v>
      </c>
      <c r="O68" s="80"/>
      <c r="P68" s="132"/>
      <c r="Q68" s="132"/>
      <c r="R68" s="132"/>
      <c r="S68" s="132"/>
      <c r="T68" s="132"/>
      <c r="U68" s="132"/>
      <c r="V68" s="132"/>
      <c r="W68" s="132"/>
      <c r="X68" s="149">
        <f t="shared" ref="X68:AL68" si="17">SUM(X69:X75)</f>
        <v>711965.9</v>
      </c>
      <c r="Y68" s="149">
        <f t="shared" si="17"/>
        <v>776</v>
      </c>
      <c r="Z68" s="149">
        <f t="shared" si="17"/>
        <v>0</v>
      </c>
      <c r="AA68" s="149"/>
      <c r="AB68" s="149"/>
      <c r="AC68" s="149"/>
      <c r="AD68" s="149"/>
      <c r="AE68" s="149"/>
      <c r="AF68" s="149"/>
      <c r="AG68" s="149"/>
      <c r="AH68" s="149"/>
      <c r="AI68" s="122"/>
      <c r="AJ68" s="46" t="e">
        <f>SUM(AJ69:AJ75)</f>
        <v>#REF!</v>
      </c>
      <c r="AK68" s="78" t="e">
        <f t="shared" si="17"/>
        <v>#REF!</v>
      </c>
      <c r="AL68" s="79" t="e">
        <f t="shared" si="17"/>
        <v>#REF!</v>
      </c>
      <c r="AM68" s="118"/>
    </row>
    <row r="69" spans="2:39" hidden="1">
      <c r="B69" s="47">
        <v>18</v>
      </c>
      <c r="C69" s="48" t="s">
        <v>73</v>
      </c>
      <c r="D69" s="49"/>
      <c r="E69" s="49"/>
      <c r="F69" s="49"/>
      <c r="G69" s="49"/>
      <c r="H69" s="56">
        <v>154967.1</v>
      </c>
      <c r="I69" s="47">
        <v>648</v>
      </c>
      <c r="J69" s="85">
        <v>0</v>
      </c>
      <c r="K69" s="86"/>
      <c r="L69" s="56">
        <v>181507.8</v>
      </c>
      <c r="M69" s="133">
        <v>54</v>
      </c>
      <c r="N69" s="134">
        <v>0</v>
      </c>
      <c r="O69" s="135"/>
      <c r="P69" s="130"/>
      <c r="Q69" s="130"/>
      <c r="R69" s="130"/>
      <c r="S69" s="130"/>
      <c r="T69" s="130"/>
      <c r="U69" s="130"/>
      <c r="V69" s="130"/>
      <c r="W69" s="130"/>
      <c r="X69" s="147">
        <v>137850.79999999999</v>
      </c>
      <c r="Y69" s="151">
        <v>199</v>
      </c>
      <c r="Z69" s="152">
        <v>0</v>
      </c>
      <c r="AA69" s="131"/>
      <c r="AB69" s="131"/>
      <c r="AC69" s="131"/>
      <c r="AD69" s="131"/>
      <c r="AE69" s="131"/>
      <c r="AF69" s="131"/>
      <c r="AG69" s="131"/>
      <c r="AH69" s="131"/>
      <c r="AI69" s="121"/>
      <c r="AJ69" s="56" t="e">
        <f>H69+L69+X69+#REF!</f>
        <v>#REF!</v>
      </c>
      <c r="AK69" s="47" t="e">
        <f>I69+M69+Y69+#REF!</f>
        <v>#REF!</v>
      </c>
      <c r="AL69" s="85" t="e">
        <f>J69+N69+Z69+#REF!</f>
        <v>#REF!</v>
      </c>
      <c r="AM69" s="119"/>
    </row>
    <row r="70" spans="2:39" hidden="1">
      <c r="B70" s="47">
        <v>19</v>
      </c>
      <c r="C70" s="48" t="s">
        <v>74</v>
      </c>
      <c r="D70" s="49"/>
      <c r="E70" s="49"/>
      <c r="F70" s="49"/>
      <c r="G70" s="49"/>
      <c r="H70" s="56">
        <v>506051.4</v>
      </c>
      <c r="I70" s="47">
        <v>26</v>
      </c>
      <c r="J70" s="85">
        <v>0</v>
      </c>
      <c r="K70" s="86"/>
      <c r="L70" s="56">
        <v>178807.8</v>
      </c>
      <c r="M70" s="133">
        <v>24</v>
      </c>
      <c r="N70" s="134">
        <v>0</v>
      </c>
      <c r="O70" s="135"/>
      <c r="P70" s="130"/>
      <c r="Q70" s="130"/>
      <c r="R70" s="130"/>
      <c r="S70" s="130"/>
      <c r="T70" s="130"/>
      <c r="U70" s="130"/>
      <c r="V70" s="130"/>
      <c r="W70" s="130"/>
      <c r="X70" s="147">
        <v>247486.8</v>
      </c>
      <c r="Y70" s="151">
        <v>84</v>
      </c>
      <c r="Z70" s="152">
        <v>0</v>
      </c>
      <c r="AA70" s="131"/>
      <c r="AB70" s="131"/>
      <c r="AC70" s="131"/>
      <c r="AD70" s="131"/>
      <c r="AE70" s="131"/>
      <c r="AF70" s="131"/>
      <c r="AG70" s="131"/>
      <c r="AH70" s="131"/>
      <c r="AI70" s="121"/>
      <c r="AJ70" s="56" t="e">
        <f>H70+L70+X70+#REF!</f>
        <v>#REF!</v>
      </c>
      <c r="AK70" s="47" t="e">
        <f>I70+M70+Y70+#REF!</f>
        <v>#REF!</v>
      </c>
      <c r="AL70" s="85" t="e">
        <f>J70+N70+Z70+#REF!</f>
        <v>#REF!</v>
      </c>
      <c r="AM70" s="119"/>
    </row>
    <row r="71" spans="2:39" ht="28.5" hidden="1">
      <c r="B71" s="47">
        <v>20</v>
      </c>
      <c r="C71" s="48" t="s">
        <v>75</v>
      </c>
      <c r="D71" s="49"/>
      <c r="E71" s="49"/>
      <c r="F71" s="49"/>
      <c r="G71" s="49"/>
      <c r="H71" s="56">
        <v>19818.7</v>
      </c>
      <c r="I71" s="47">
        <v>391</v>
      </c>
      <c r="J71" s="85">
        <v>0</v>
      </c>
      <c r="K71" s="86"/>
      <c r="L71" s="56">
        <v>15358.1</v>
      </c>
      <c r="M71" s="133">
        <v>113</v>
      </c>
      <c r="N71" s="134">
        <v>0</v>
      </c>
      <c r="O71" s="135"/>
      <c r="P71" s="130"/>
      <c r="Q71" s="130"/>
      <c r="R71" s="130"/>
      <c r="S71" s="130"/>
      <c r="T71" s="130"/>
      <c r="U71" s="130"/>
      <c r="V71" s="130"/>
      <c r="W71" s="130"/>
      <c r="X71" s="147">
        <v>19445.099999999999</v>
      </c>
      <c r="Y71" s="151">
        <v>317</v>
      </c>
      <c r="Z71" s="152">
        <v>0</v>
      </c>
      <c r="AA71" s="131"/>
      <c r="AB71" s="131"/>
      <c r="AC71" s="131"/>
      <c r="AD71" s="131"/>
      <c r="AE71" s="131"/>
      <c r="AF71" s="131"/>
      <c r="AG71" s="131"/>
      <c r="AH71" s="131"/>
      <c r="AI71" s="121"/>
      <c r="AJ71" s="56" t="e">
        <f>H71+L71+X71+#REF!</f>
        <v>#REF!</v>
      </c>
      <c r="AK71" s="47" t="e">
        <f>I71+M71+Y71+#REF!</f>
        <v>#REF!</v>
      </c>
      <c r="AL71" s="85" t="e">
        <f>J71+N71+Z71+#REF!</f>
        <v>#REF!</v>
      </c>
      <c r="AM71" s="119"/>
    </row>
    <row r="72" spans="2:39" hidden="1">
      <c r="B72" s="47">
        <v>21</v>
      </c>
      <c r="C72" s="48" t="s">
        <v>76</v>
      </c>
      <c r="D72" s="49"/>
      <c r="E72" s="49"/>
      <c r="F72" s="49"/>
      <c r="G72" s="49"/>
      <c r="H72" s="56">
        <v>139026.6</v>
      </c>
      <c r="I72" s="47">
        <v>192</v>
      </c>
      <c r="J72" s="85">
        <v>0</v>
      </c>
      <c r="K72" s="86"/>
      <c r="L72" s="56">
        <v>16385.7</v>
      </c>
      <c r="M72" s="133">
        <v>34</v>
      </c>
      <c r="N72" s="134">
        <v>0</v>
      </c>
      <c r="O72" s="135"/>
      <c r="P72" s="130"/>
      <c r="Q72" s="130"/>
      <c r="R72" s="130"/>
      <c r="S72" s="130"/>
      <c r="T72" s="130"/>
      <c r="U72" s="130"/>
      <c r="V72" s="130"/>
      <c r="W72" s="130"/>
      <c r="X72" s="147">
        <v>43610.2</v>
      </c>
      <c r="Y72" s="151">
        <v>65</v>
      </c>
      <c r="Z72" s="152">
        <v>0</v>
      </c>
      <c r="AA72" s="131"/>
      <c r="AB72" s="131"/>
      <c r="AC72" s="131"/>
      <c r="AD72" s="131"/>
      <c r="AE72" s="131"/>
      <c r="AF72" s="131"/>
      <c r="AG72" s="131"/>
      <c r="AH72" s="131"/>
      <c r="AI72" s="121"/>
      <c r="AJ72" s="56" t="e">
        <f>H72+L72+X72+#REF!</f>
        <v>#REF!</v>
      </c>
      <c r="AK72" s="47" t="e">
        <f>I72+M72+Y72+#REF!</f>
        <v>#REF!</v>
      </c>
      <c r="AL72" s="85" t="e">
        <f>J72+N72+Z72+#REF!</f>
        <v>#REF!</v>
      </c>
      <c r="AM72" s="119"/>
    </row>
    <row r="73" spans="2:39" ht="42.75" hidden="1">
      <c r="B73" s="47">
        <v>22</v>
      </c>
      <c r="C73" s="48" t="s">
        <v>77</v>
      </c>
      <c r="D73" s="49"/>
      <c r="E73" s="49"/>
      <c r="F73" s="49"/>
      <c r="G73" s="49"/>
      <c r="H73" s="56">
        <v>1200.4000000000001</v>
      </c>
      <c r="I73" s="47">
        <v>23</v>
      </c>
      <c r="J73" s="85">
        <v>0</v>
      </c>
      <c r="K73" s="86"/>
      <c r="L73" s="56">
        <v>323638.2</v>
      </c>
      <c r="M73" s="133">
        <v>6</v>
      </c>
      <c r="N73" s="134">
        <v>0</v>
      </c>
      <c r="O73" s="135"/>
      <c r="P73" s="130"/>
      <c r="Q73" s="130"/>
      <c r="R73" s="130"/>
      <c r="S73" s="130"/>
      <c r="T73" s="130"/>
      <c r="U73" s="130"/>
      <c r="V73" s="130"/>
      <c r="W73" s="130"/>
      <c r="X73" s="147">
        <v>463.3</v>
      </c>
      <c r="Y73" s="151">
        <v>30</v>
      </c>
      <c r="Z73" s="152">
        <v>0</v>
      </c>
      <c r="AA73" s="131"/>
      <c r="AB73" s="131"/>
      <c r="AC73" s="131"/>
      <c r="AD73" s="131"/>
      <c r="AE73" s="131"/>
      <c r="AF73" s="131"/>
      <c r="AG73" s="131"/>
      <c r="AH73" s="131"/>
      <c r="AI73" s="121"/>
      <c r="AJ73" s="56" t="e">
        <f>H73+L73+X73+#REF!</f>
        <v>#REF!</v>
      </c>
      <c r="AK73" s="47" t="e">
        <f>I73+M73+Y73+#REF!</f>
        <v>#REF!</v>
      </c>
      <c r="AL73" s="85" t="e">
        <f>J73+N73+Z73+#REF!</f>
        <v>#REF!</v>
      </c>
      <c r="AM73" s="119"/>
    </row>
    <row r="74" spans="2:39" ht="42.75" hidden="1">
      <c r="B74" s="47">
        <v>23</v>
      </c>
      <c r="C74" s="48" t="s">
        <v>78</v>
      </c>
      <c r="D74" s="49"/>
      <c r="E74" s="49"/>
      <c r="F74" s="49"/>
      <c r="G74" s="49"/>
      <c r="H74" s="56">
        <v>33629.5</v>
      </c>
      <c r="I74" s="47">
        <v>53</v>
      </c>
      <c r="J74" s="85">
        <v>0</v>
      </c>
      <c r="K74" s="86"/>
      <c r="L74" s="136">
        <v>16599.7</v>
      </c>
      <c r="M74" s="137">
        <v>10</v>
      </c>
      <c r="N74" s="138">
        <v>0</v>
      </c>
      <c r="O74" s="121"/>
      <c r="P74" s="130"/>
      <c r="Q74" s="130"/>
      <c r="R74" s="130"/>
      <c r="S74" s="130"/>
      <c r="T74" s="130"/>
      <c r="U74" s="130"/>
      <c r="V74" s="130"/>
      <c r="W74" s="130"/>
      <c r="X74" s="147">
        <v>5966.9</v>
      </c>
      <c r="Y74" s="151">
        <v>18</v>
      </c>
      <c r="Z74" s="152">
        <v>0</v>
      </c>
      <c r="AA74" s="131"/>
      <c r="AB74" s="131"/>
      <c r="AC74" s="131"/>
      <c r="AD74" s="131"/>
      <c r="AE74" s="131"/>
      <c r="AF74" s="131"/>
      <c r="AG74" s="131"/>
      <c r="AH74" s="131"/>
      <c r="AI74" s="121"/>
      <c r="AJ74" s="56" t="e">
        <f>H74+L74+X74+#REF!</f>
        <v>#REF!</v>
      </c>
      <c r="AK74" s="47" t="e">
        <f>I74+M74+Y74+#REF!</f>
        <v>#REF!</v>
      </c>
      <c r="AL74" s="85" t="e">
        <f>J74+N74+Z74+#REF!</f>
        <v>#REF!</v>
      </c>
      <c r="AM74" s="119"/>
    </row>
    <row r="75" spans="2:39" hidden="1">
      <c r="B75" s="47">
        <v>24</v>
      </c>
      <c r="C75" s="48" t="s">
        <v>79</v>
      </c>
      <c r="D75" s="49"/>
      <c r="E75" s="49"/>
      <c r="F75" s="49"/>
      <c r="G75" s="49"/>
      <c r="H75" s="56">
        <v>10357.5</v>
      </c>
      <c r="I75" s="47">
        <v>793</v>
      </c>
      <c r="J75" s="85">
        <v>0</v>
      </c>
      <c r="K75" s="86"/>
      <c r="L75" s="56">
        <v>15169.8</v>
      </c>
      <c r="M75" s="133">
        <v>68</v>
      </c>
      <c r="N75" s="134">
        <v>0</v>
      </c>
      <c r="O75" s="135"/>
      <c r="P75" s="130"/>
      <c r="Q75" s="130"/>
      <c r="R75" s="130"/>
      <c r="S75" s="130"/>
      <c r="T75" s="130"/>
      <c r="U75" s="130"/>
      <c r="V75" s="130"/>
      <c r="W75" s="130"/>
      <c r="X75" s="147">
        <v>257142.8</v>
      </c>
      <c r="Y75" s="151">
        <v>63</v>
      </c>
      <c r="Z75" s="152">
        <v>0</v>
      </c>
      <c r="AA75" s="131"/>
      <c r="AB75" s="131"/>
      <c r="AC75" s="131"/>
      <c r="AD75" s="131"/>
      <c r="AE75" s="131"/>
      <c r="AF75" s="131"/>
      <c r="AG75" s="131"/>
      <c r="AH75" s="131"/>
      <c r="AI75" s="121"/>
      <c r="AJ75" s="56" t="e">
        <f>H75+L75+X75+#REF!</f>
        <v>#REF!</v>
      </c>
      <c r="AK75" s="47" t="e">
        <f>I75+M75+Y75+#REF!</f>
        <v>#REF!</v>
      </c>
      <c r="AL75" s="85" t="e">
        <f>J75+N75+Z75+#REF!</f>
        <v>#REF!</v>
      </c>
      <c r="AM75" s="119"/>
    </row>
    <row r="76" spans="2:39" hidden="1">
      <c r="B76" s="51"/>
      <c r="C76" s="125"/>
      <c r="D76" s="126"/>
      <c r="E76" s="126"/>
      <c r="F76" s="126"/>
      <c r="G76" s="126"/>
      <c r="H76" s="52"/>
      <c r="I76" s="51"/>
      <c r="J76" s="139"/>
      <c r="K76" s="140"/>
      <c r="L76" s="52"/>
      <c r="M76" s="51"/>
      <c r="N76" s="139"/>
      <c r="O76" s="140"/>
      <c r="P76" s="89"/>
      <c r="Q76" s="89"/>
      <c r="R76" s="89"/>
      <c r="S76" s="89"/>
      <c r="T76" s="89"/>
      <c r="U76" s="89"/>
      <c r="V76" s="89"/>
      <c r="W76" s="89"/>
      <c r="X76" s="56"/>
      <c r="Y76" s="154"/>
      <c r="Z76" s="155"/>
      <c r="AA76" s="156"/>
      <c r="AB76" s="156"/>
      <c r="AC76" s="156"/>
      <c r="AD76" s="156"/>
      <c r="AE76" s="156"/>
      <c r="AF76" s="156"/>
      <c r="AG76" s="156"/>
      <c r="AH76" s="156"/>
      <c r="AI76" s="157"/>
      <c r="AJ76" s="52"/>
      <c r="AK76" s="51"/>
      <c r="AL76" s="139"/>
      <c r="AM76" s="158"/>
    </row>
    <row r="77" spans="2:39" hidden="1">
      <c r="B77" s="346" t="s">
        <v>80</v>
      </c>
      <c r="C77" s="347"/>
      <c r="D77" s="127"/>
      <c r="E77" s="127"/>
      <c r="F77" s="127"/>
      <c r="G77" s="127"/>
      <c r="H77" s="128">
        <f>H68+H54+H48</f>
        <v>1418070.4</v>
      </c>
      <c r="I77" s="141">
        <f>I68+I54+I48</f>
        <v>2295</v>
      </c>
      <c r="J77" s="142">
        <f>J68+J54+J48</f>
        <v>0</v>
      </c>
      <c r="K77" s="143"/>
      <c r="L77" s="128">
        <f>L68+L54+L48</f>
        <v>1223476.5</v>
      </c>
      <c r="M77" s="144">
        <f>M68+M54+M48</f>
        <v>444</v>
      </c>
      <c r="N77" s="142">
        <f>N68+N54+N48</f>
        <v>0</v>
      </c>
      <c r="O77" s="143"/>
      <c r="P77" s="145"/>
      <c r="Q77" s="145"/>
      <c r="R77" s="145"/>
      <c r="S77" s="145"/>
      <c r="T77" s="145"/>
      <c r="U77" s="145"/>
      <c r="V77" s="145"/>
      <c r="W77" s="145"/>
      <c r="X77" s="128">
        <f t="shared" ref="X77:AL77" si="18">X68+X54+X48</f>
        <v>868732</v>
      </c>
      <c r="Y77" s="128">
        <f t="shared" ref="Y77:Z77" si="19">Y68+Y54+Y48</f>
        <v>945</v>
      </c>
      <c r="Z77" s="128">
        <f t="shared" si="19"/>
        <v>0</v>
      </c>
      <c r="AA77" s="128"/>
      <c r="AB77" s="128"/>
      <c r="AC77" s="128"/>
      <c r="AD77" s="128"/>
      <c r="AE77" s="128"/>
      <c r="AF77" s="128"/>
      <c r="AG77" s="128"/>
      <c r="AH77" s="128"/>
      <c r="AI77" s="159"/>
      <c r="AJ77" s="128" t="e">
        <f t="shared" si="18"/>
        <v>#REF!</v>
      </c>
      <c r="AK77" s="160" t="e">
        <f t="shared" si="18"/>
        <v>#REF!</v>
      </c>
      <c r="AL77" s="142" t="e">
        <f t="shared" si="18"/>
        <v>#REF!</v>
      </c>
      <c r="AM77" s="161"/>
    </row>
    <row r="78" spans="2:39" hidden="1">
      <c r="P78" s="146"/>
      <c r="Q78" s="146"/>
      <c r="R78" s="146"/>
      <c r="S78" s="146"/>
      <c r="T78" s="146"/>
      <c r="U78" s="146"/>
      <c r="V78" s="146"/>
      <c r="W78" s="146"/>
      <c r="X78" s="150">
        <v>868732</v>
      </c>
    </row>
    <row r="79" spans="2:39" hidden="1"/>
    <row r="80" spans="2:39" hidden="1"/>
    <row r="81" spans="3:45" hidden="1"/>
    <row r="82" spans="3:45" hidden="1">
      <c r="AJ82" s="162"/>
    </row>
    <row r="83" spans="3:45">
      <c r="AB83" s="383"/>
      <c r="AC83" s="383"/>
      <c r="AJ83" s="163"/>
    </row>
    <row r="84" spans="3:45">
      <c r="C84" s="129"/>
      <c r="D84" s="129"/>
      <c r="E84" s="129"/>
      <c r="F84" s="129"/>
      <c r="G84" s="129"/>
      <c r="S84">
        <f>175-95</f>
        <v>80</v>
      </c>
      <c r="AB84" s="384"/>
      <c r="AC84" s="384"/>
      <c r="AH84" t="s">
        <v>177</v>
      </c>
      <c r="AJ84" s="6"/>
    </row>
    <row r="85" spans="3:45">
      <c r="AJ85" s="164"/>
    </row>
    <row r="86" spans="3:45">
      <c r="C86" s="6"/>
      <c r="D86" s="6"/>
      <c r="E86" s="6"/>
      <c r="F86" s="6"/>
      <c r="G86" s="6"/>
      <c r="AJ86" s="165"/>
      <c r="AO86">
        <f>1592-987</f>
        <v>605</v>
      </c>
    </row>
    <row r="87" spans="3:45">
      <c r="AH87" s="385" t="s">
        <v>178</v>
      </c>
      <c r="AI87" s="385"/>
    </row>
    <row r="89" spans="3:45">
      <c r="AO89">
        <f>1592-1618</f>
        <v>-26</v>
      </c>
      <c r="AR89">
        <f>1566-54</f>
        <v>1512</v>
      </c>
    </row>
    <row r="90" spans="3:45">
      <c r="AR90">
        <f>127-47</f>
        <v>80</v>
      </c>
    </row>
    <row r="91" spans="3:45">
      <c r="AR91">
        <f>SUM(AR89:AR90)</f>
        <v>1592</v>
      </c>
      <c r="AS91">
        <f>1592-AR91</f>
        <v>0</v>
      </c>
    </row>
    <row r="92" spans="3:45">
      <c r="AS92">
        <f>1639-47</f>
        <v>1592</v>
      </c>
    </row>
  </sheetData>
  <mergeCells count="61">
    <mergeCell ref="A9:AM9"/>
    <mergeCell ref="A10:AM10"/>
    <mergeCell ref="A11:AM11"/>
    <mergeCell ref="A12:AM12"/>
    <mergeCell ref="D14:K14"/>
    <mergeCell ref="L14:R14"/>
    <mergeCell ref="T14:Z14"/>
    <mergeCell ref="AB14:AI14"/>
    <mergeCell ref="AJ14:AM14"/>
    <mergeCell ref="AN14:AQ14"/>
    <mergeCell ref="AR14:AU14"/>
    <mergeCell ref="E15:F15"/>
    <mergeCell ref="I15:J15"/>
    <mergeCell ref="M15:N15"/>
    <mergeCell ref="Q15:R15"/>
    <mergeCell ref="U15:V15"/>
    <mergeCell ref="Y15:Z15"/>
    <mergeCell ref="AC15:AD15"/>
    <mergeCell ref="AG15:AH15"/>
    <mergeCell ref="AK15:AL15"/>
    <mergeCell ref="AR15:AS15"/>
    <mergeCell ref="AT15:AU15"/>
    <mergeCell ref="W15:W16"/>
    <mergeCell ref="X15:X16"/>
    <mergeCell ref="AA15:AA16"/>
    <mergeCell ref="B41:C41"/>
    <mergeCell ref="H44:J44"/>
    <mergeCell ref="L44:N44"/>
    <mergeCell ref="X44:Z44"/>
    <mergeCell ref="AJ44:AL44"/>
    <mergeCell ref="I45:J45"/>
    <mergeCell ref="M45:N45"/>
    <mergeCell ref="Y45:Z45"/>
    <mergeCell ref="AK45:AL45"/>
    <mergeCell ref="B77:C77"/>
    <mergeCell ref="AB83:AC83"/>
    <mergeCell ref="AB84:AC84"/>
    <mergeCell ref="AH87:AI87"/>
    <mergeCell ref="B14:B16"/>
    <mergeCell ref="B44:B46"/>
    <mergeCell ref="C14:C16"/>
    <mergeCell ref="C44:C46"/>
    <mergeCell ref="D15:D16"/>
    <mergeCell ref="G15:G16"/>
    <mergeCell ref="H15:H16"/>
    <mergeCell ref="K15:K16"/>
    <mergeCell ref="L15:L16"/>
    <mergeCell ref="O15:O16"/>
    <mergeCell ref="P15:P16"/>
    <mergeCell ref="S15:S16"/>
    <mergeCell ref="T15:T16"/>
    <mergeCell ref="AB15:AB16"/>
    <mergeCell ref="AE15:AE16"/>
    <mergeCell ref="AF15:AF16"/>
    <mergeCell ref="AI15:AI16"/>
    <mergeCell ref="AJ15:AJ16"/>
    <mergeCell ref="AM15:AM16"/>
    <mergeCell ref="AN15:AN16"/>
    <mergeCell ref="AO15:AO16"/>
    <mergeCell ref="AP15:AP16"/>
    <mergeCell ref="AQ15:AQ16"/>
  </mergeCells>
  <printOptions horizontalCentered="1"/>
  <pageMargins left="0.35416666666666702" right="0.35416666666666702" top="0.98402777777777795" bottom="0.98402777777777795" header="0.51180555555555596" footer="0.51180555555555596"/>
  <pageSetup paperSize="9" scale="59" orientation="landscape" r:id="rId1"/>
  <rowBreaks count="1" manualBreakCount="1">
    <brk id="82" max="16383" man="1"/>
  </rowBreaks>
  <colBreaks count="1" manualBreakCount="1">
    <brk id="47" max="1048575" man="1"/>
  </colBreaks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ltText="" r:id="rId5">
            <anchor moveWithCells="1" sizeWithCells="1">
              <from>
                <xdr:col>18</xdr:col>
                <xdr:colOff>533400</xdr:colOff>
                <xdr:row>0</xdr:row>
                <xdr:rowOff>38100</xdr:rowOff>
              </from>
              <to>
                <xdr:col>20</xdr:col>
                <xdr:colOff>323850</xdr:colOff>
                <xdr:row>7</xdr:row>
                <xdr:rowOff>123825</xdr:rowOff>
              </to>
            </anchor>
          </objectPr>
        </oleObject>
      </mc:Choice>
      <mc:Fallback>
        <oleObject progId="PBrush" shapeId="11266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/>
  <sheetData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3:I32"/>
  <sheetViews>
    <sheetView view="pageBreakPreview" zoomScaleNormal="100" workbookViewId="0">
      <selection activeCell="E16" sqref="E16:E17"/>
    </sheetView>
  </sheetViews>
  <sheetFormatPr defaultColWidth="9.140625" defaultRowHeight="15"/>
  <cols>
    <col min="2" max="2" width="5.5703125" customWidth="1"/>
    <col min="3" max="3" width="34" customWidth="1"/>
    <col min="4" max="4" width="13.5703125" customWidth="1"/>
    <col min="5" max="5" width="26.7109375" customWidth="1"/>
    <col min="7" max="7" width="15.28515625" customWidth="1"/>
    <col min="9" max="9" width="16.85546875" customWidth="1"/>
  </cols>
  <sheetData>
    <row r="3" spans="2:9">
      <c r="B3" s="35" t="s">
        <v>20</v>
      </c>
    </row>
    <row r="5" spans="2:9" ht="23.1" customHeight="1">
      <c r="B5" s="301" t="s">
        <v>2</v>
      </c>
      <c r="C5" s="301" t="s">
        <v>21</v>
      </c>
      <c r="D5" s="301" t="s">
        <v>4</v>
      </c>
      <c r="E5" s="301" t="s">
        <v>22</v>
      </c>
      <c r="I5" t="s">
        <v>23</v>
      </c>
    </row>
    <row r="6" spans="2:9" ht="23.1" customHeight="1">
      <c r="B6" s="302">
        <v>1</v>
      </c>
      <c r="C6" s="303" t="s">
        <v>24</v>
      </c>
      <c r="D6" s="302" t="s">
        <v>9</v>
      </c>
      <c r="E6" s="101"/>
      <c r="H6" t="s">
        <v>25</v>
      </c>
      <c r="I6" s="206">
        <f>3127000</f>
        <v>3127000</v>
      </c>
    </row>
    <row r="7" spans="2:9" ht="23.1" customHeight="1">
      <c r="B7" s="301">
        <v>2</v>
      </c>
      <c r="C7" s="304" t="s">
        <v>26</v>
      </c>
      <c r="D7" s="301" t="s">
        <v>9</v>
      </c>
      <c r="E7" s="305"/>
      <c r="H7" t="s">
        <v>27</v>
      </c>
      <c r="I7" s="308">
        <f>143100*14400/1000</f>
        <v>2060640</v>
      </c>
    </row>
    <row r="8" spans="2:9" ht="23.1" customHeight="1">
      <c r="B8" s="302">
        <v>3</v>
      </c>
      <c r="C8" s="303" t="s">
        <v>28</v>
      </c>
      <c r="D8" s="302" t="s">
        <v>7</v>
      </c>
      <c r="E8" s="306" t="e">
        <f>E7/E6</f>
        <v>#DIV/0!</v>
      </c>
      <c r="I8" s="206">
        <f>SUM(I6:I7)</f>
        <v>5187640</v>
      </c>
    </row>
    <row r="13" spans="2:9">
      <c r="B13" s="35" t="s">
        <v>29</v>
      </c>
    </row>
    <row r="14" spans="2:9">
      <c r="B14" s="35"/>
    </row>
    <row r="15" spans="2:9">
      <c r="B15" s="301" t="s">
        <v>2</v>
      </c>
      <c r="C15" s="301" t="s">
        <v>21</v>
      </c>
      <c r="D15" s="301" t="s">
        <v>4</v>
      </c>
      <c r="E15" s="301" t="s">
        <v>22</v>
      </c>
    </row>
    <row r="16" spans="2:9">
      <c r="B16" s="302">
        <v>1</v>
      </c>
      <c r="C16" s="303" t="s">
        <v>24</v>
      </c>
      <c r="D16" s="302" t="s">
        <v>15</v>
      </c>
      <c r="E16" s="101"/>
    </row>
    <row r="17" spans="2:9">
      <c r="B17" s="301">
        <v>2</v>
      </c>
      <c r="C17" s="304" t="s">
        <v>26</v>
      </c>
      <c r="D17" s="301" t="s">
        <v>15</v>
      </c>
      <c r="E17" s="305"/>
      <c r="G17" s="6">
        <f>+E17*14350</f>
        <v>0</v>
      </c>
    </row>
    <row r="18" spans="2:9">
      <c r="B18" s="302">
        <v>3</v>
      </c>
      <c r="C18" s="303" t="s">
        <v>28</v>
      </c>
      <c r="D18" s="302" t="s">
        <v>7</v>
      </c>
      <c r="E18" s="306" t="e">
        <f>E17/E16</f>
        <v>#DIV/0!</v>
      </c>
    </row>
    <row r="23" spans="2:9">
      <c r="B23" s="35" t="s">
        <v>30</v>
      </c>
    </row>
    <row r="25" spans="2:9">
      <c r="B25" s="301" t="s">
        <v>2</v>
      </c>
      <c r="C25" s="301" t="s">
        <v>21</v>
      </c>
      <c r="D25" s="301" t="s">
        <v>4</v>
      </c>
      <c r="E25" s="301" t="s">
        <v>22</v>
      </c>
    </row>
    <row r="26" spans="2:9">
      <c r="B26" s="302">
        <v>1</v>
      </c>
      <c r="C26" s="303" t="s">
        <v>31</v>
      </c>
      <c r="D26" s="302" t="s">
        <v>9</v>
      </c>
      <c r="E26" s="101">
        <f>E6+((E16*14400*1000/1000000))</f>
        <v>0</v>
      </c>
      <c r="I26">
        <f>+E26/4</f>
        <v>0</v>
      </c>
    </row>
    <row r="27" spans="2:9">
      <c r="B27" s="301">
        <v>2</v>
      </c>
      <c r="C27" s="304" t="s">
        <v>26</v>
      </c>
      <c r="D27" s="301" t="s">
        <v>9</v>
      </c>
      <c r="E27" s="305">
        <f>E7+(E17*14350*1000/1000000)</f>
        <v>0</v>
      </c>
    </row>
    <row r="28" spans="2:9">
      <c r="B28" s="302">
        <v>3</v>
      </c>
      <c r="C28" s="303" t="s">
        <v>28</v>
      </c>
      <c r="D28" s="302" t="s">
        <v>7</v>
      </c>
      <c r="E28" s="306" t="e">
        <f>E27/E26</f>
        <v>#DIV/0!</v>
      </c>
    </row>
    <row r="30" spans="2:9">
      <c r="B30" s="307" t="s">
        <v>16</v>
      </c>
    </row>
    <row r="31" spans="2:9">
      <c r="B31" s="307" t="s">
        <v>32</v>
      </c>
    </row>
    <row r="32" spans="2:9">
      <c r="C32" t="s">
        <v>18</v>
      </c>
    </row>
  </sheetData>
  <pageMargins left="0.75" right="0.75" top="1" bottom="1" header="0.5" footer="0.5"/>
  <pageSetup paperSize="9" scale="9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Z54"/>
  <sheetViews>
    <sheetView view="pageBreakPreview" topLeftCell="A16" zoomScale="115" zoomScaleNormal="100" workbookViewId="0">
      <selection activeCell="K17" sqref="K17"/>
    </sheetView>
  </sheetViews>
  <sheetFormatPr defaultColWidth="9.140625" defaultRowHeight="15"/>
  <cols>
    <col min="1" max="1" width="0.5703125" customWidth="1"/>
    <col min="2" max="2" width="5.85546875" customWidth="1"/>
    <col min="3" max="3" width="33.7109375" customWidth="1"/>
    <col min="4" max="4" width="14.140625" customWidth="1"/>
    <col min="5" max="5" width="10.85546875" customWidth="1"/>
    <col min="6" max="6" width="8" customWidth="1"/>
    <col min="7" max="8" width="12.28515625" customWidth="1"/>
    <col min="9" max="9" width="10.85546875" customWidth="1"/>
    <col min="10" max="10" width="9.140625" customWidth="1"/>
    <col min="11" max="12" width="14" customWidth="1"/>
    <col min="13" max="13" width="10.5703125" customWidth="1"/>
    <col min="14" max="14" width="8.28515625" customWidth="1"/>
    <col min="15" max="16" width="12.28515625" customWidth="1"/>
    <col min="17" max="17" width="10.85546875" customWidth="1"/>
    <col min="18" max="18" width="10" customWidth="1"/>
    <col min="19" max="20" width="15.5703125" customWidth="1"/>
    <col min="21" max="21" width="11.85546875" customWidth="1"/>
    <col min="22" max="22" width="9.140625" customWidth="1"/>
    <col min="23" max="23" width="11.42578125" customWidth="1"/>
    <col min="24" max="25" width="9.140625" customWidth="1"/>
  </cols>
  <sheetData>
    <row r="6" spans="2:24" ht="18">
      <c r="B6" s="354" t="s">
        <v>33</v>
      </c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</row>
    <row r="7" spans="2:24" ht="18">
      <c r="B7" s="354" t="s">
        <v>34</v>
      </c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4"/>
    </row>
    <row r="8" spans="2:24" ht="15" customHeight="1">
      <c r="B8" s="354" t="s">
        <v>35</v>
      </c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354"/>
    </row>
    <row r="9" spans="2:24" ht="15" customHeight="1">
      <c r="B9" s="354" t="s">
        <v>36</v>
      </c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</row>
    <row r="11" spans="2:24">
      <c r="B11" s="35"/>
    </row>
    <row r="12" spans="2:24">
      <c r="B12" s="348" t="s">
        <v>37</v>
      </c>
      <c r="C12" s="349" t="s">
        <v>38</v>
      </c>
      <c r="D12" s="355" t="s">
        <v>39</v>
      </c>
      <c r="E12" s="355"/>
      <c r="F12" s="356"/>
      <c r="G12" s="281"/>
      <c r="H12" s="357" t="s">
        <v>40</v>
      </c>
      <c r="I12" s="355"/>
      <c r="J12" s="358"/>
      <c r="K12" s="281"/>
      <c r="L12" s="359" t="s">
        <v>41</v>
      </c>
      <c r="M12" s="355"/>
      <c r="N12" s="356"/>
      <c r="O12" s="281"/>
      <c r="P12" s="357" t="s">
        <v>42</v>
      </c>
      <c r="Q12" s="355"/>
      <c r="R12" s="358"/>
      <c r="S12" s="281"/>
      <c r="T12" s="359" t="s">
        <v>43</v>
      </c>
      <c r="U12" s="355"/>
      <c r="V12" s="355"/>
      <c r="W12" s="37"/>
    </row>
    <row r="13" spans="2:24" ht="39.75" customHeight="1">
      <c r="B13" s="348"/>
      <c r="C13" s="349"/>
      <c r="D13" s="39" t="s">
        <v>44</v>
      </c>
      <c r="E13" s="343" t="s">
        <v>45</v>
      </c>
      <c r="F13" s="352"/>
      <c r="G13" s="350" t="s">
        <v>46</v>
      </c>
      <c r="H13" s="39" t="s">
        <v>44</v>
      </c>
      <c r="I13" s="343" t="s">
        <v>45</v>
      </c>
      <c r="J13" s="352"/>
      <c r="K13" s="350" t="s">
        <v>46</v>
      </c>
      <c r="L13" s="39" t="s">
        <v>44</v>
      </c>
      <c r="M13" s="343" t="s">
        <v>45</v>
      </c>
      <c r="N13" s="352"/>
      <c r="O13" s="350" t="s">
        <v>46</v>
      </c>
      <c r="P13" s="39" t="s">
        <v>44</v>
      </c>
      <c r="Q13" s="343" t="s">
        <v>45</v>
      </c>
      <c r="R13" s="352"/>
      <c r="S13" s="350" t="s">
        <v>46</v>
      </c>
      <c r="T13" s="39" t="s">
        <v>44</v>
      </c>
      <c r="U13" s="343" t="s">
        <v>45</v>
      </c>
      <c r="V13" s="353"/>
      <c r="W13" s="344" t="s">
        <v>46</v>
      </c>
      <c r="X13" s="343"/>
    </row>
    <row r="14" spans="2:24" ht="27.95" customHeight="1">
      <c r="B14" s="348"/>
      <c r="C14" s="349"/>
      <c r="D14" s="39" t="s">
        <v>47</v>
      </c>
      <c r="E14" s="73" t="s">
        <v>48</v>
      </c>
      <c r="F14" s="74" t="s">
        <v>49</v>
      </c>
      <c r="G14" s="351"/>
      <c r="H14" s="39" t="s">
        <v>47</v>
      </c>
      <c r="I14" s="73" t="s">
        <v>48</v>
      </c>
      <c r="J14" s="74" t="s">
        <v>49</v>
      </c>
      <c r="K14" s="351"/>
      <c r="L14" s="39" t="s">
        <v>47</v>
      </c>
      <c r="M14" s="73" t="s">
        <v>48</v>
      </c>
      <c r="N14" s="74" t="s">
        <v>49</v>
      </c>
      <c r="O14" s="351"/>
      <c r="P14" s="39" t="s">
        <v>47</v>
      </c>
      <c r="Q14" s="73" t="s">
        <v>48</v>
      </c>
      <c r="R14" s="74" t="s">
        <v>49</v>
      </c>
      <c r="S14" s="351"/>
      <c r="T14" s="39" t="s">
        <v>47</v>
      </c>
      <c r="U14" s="73" t="s">
        <v>48</v>
      </c>
      <c r="V14" s="298" t="s">
        <v>49</v>
      </c>
      <c r="W14" s="345"/>
      <c r="X14" s="343"/>
    </row>
    <row r="15" spans="2:24">
      <c r="B15" s="40"/>
      <c r="C15" s="41"/>
      <c r="D15" s="43"/>
      <c r="E15" s="53"/>
      <c r="F15" s="76"/>
      <c r="G15" s="283"/>
      <c r="H15" s="43"/>
      <c r="I15" s="53"/>
      <c r="J15" s="76"/>
      <c r="K15" s="283"/>
      <c r="L15" s="43"/>
      <c r="M15" s="53"/>
      <c r="N15" s="76"/>
      <c r="O15" s="283"/>
      <c r="P15" s="43"/>
      <c r="Q15" s="53"/>
      <c r="R15" s="76"/>
      <c r="S15" s="283"/>
      <c r="T15" s="43"/>
      <c r="U15" s="53"/>
      <c r="V15" s="76"/>
      <c r="W15" s="283"/>
    </row>
    <row r="16" spans="2:24">
      <c r="B16" s="40" t="s">
        <v>50</v>
      </c>
      <c r="C16" s="44" t="s">
        <v>51</v>
      </c>
      <c r="D16" s="240">
        <f t="shared" ref="D16:J16" si="0">SUM(D17:D20)</f>
        <v>71330.5</v>
      </c>
      <c r="E16" s="240">
        <f t="shared" si="0"/>
        <v>104</v>
      </c>
      <c r="F16" s="240">
        <f t="shared" si="0"/>
        <v>0</v>
      </c>
      <c r="G16" s="240">
        <f t="shared" si="0"/>
        <v>85</v>
      </c>
      <c r="H16" s="240">
        <f t="shared" si="0"/>
        <v>0</v>
      </c>
      <c r="I16" s="240">
        <f t="shared" si="0"/>
        <v>0</v>
      </c>
      <c r="J16" s="240">
        <f t="shared" si="0"/>
        <v>0</v>
      </c>
      <c r="K16" s="240"/>
      <c r="L16" s="240">
        <f>SUM(L17:L20)</f>
        <v>0</v>
      </c>
      <c r="M16" s="240">
        <f>SUM(M17:M20)</f>
        <v>0</v>
      </c>
      <c r="N16" s="240">
        <f>SUM(N17:N20)</f>
        <v>0</v>
      </c>
      <c r="O16" s="240"/>
      <c r="P16" s="240">
        <f>SUM(P17:P20)</f>
        <v>0</v>
      </c>
      <c r="Q16" s="240">
        <f>SUM(Q17:Q20)</f>
        <v>0</v>
      </c>
      <c r="R16" s="240">
        <f>SUM(R17:R20)</f>
        <v>0</v>
      </c>
      <c r="S16" s="240"/>
      <c r="T16" s="240">
        <f>SUM(T17:T20)</f>
        <v>71330.5</v>
      </c>
      <c r="U16" s="241">
        <f>SUM(U17:U20)</f>
        <v>104</v>
      </c>
      <c r="V16" s="242">
        <f>SUM(V17:V20)</f>
        <v>0</v>
      </c>
      <c r="W16" s="122">
        <f>+S16+O16+K16+G16</f>
        <v>85</v>
      </c>
    </row>
    <row r="17" spans="2:23" ht="28.5">
      <c r="B17" s="169">
        <v>1</v>
      </c>
      <c r="C17" s="48" t="s">
        <v>52</v>
      </c>
      <c r="D17" s="210">
        <v>0</v>
      </c>
      <c r="E17" s="208">
        <v>0</v>
      </c>
      <c r="F17" s="209">
        <v>0</v>
      </c>
      <c r="G17" s="292">
        <v>0</v>
      </c>
      <c r="H17" s="207"/>
      <c r="I17" s="208"/>
      <c r="J17" s="209"/>
      <c r="K17" s="292"/>
      <c r="L17" s="207"/>
      <c r="M17" s="137"/>
      <c r="N17" s="138"/>
      <c r="O17" s="290"/>
      <c r="P17" s="136"/>
      <c r="Q17" s="137"/>
      <c r="R17" s="138"/>
      <c r="S17" s="290"/>
      <c r="T17" s="136">
        <f t="shared" ref="T17:V20" si="1">+D17+H17+L17+P17</f>
        <v>0</v>
      </c>
      <c r="U17" s="136">
        <f t="shared" si="1"/>
        <v>0</v>
      </c>
      <c r="V17" s="136">
        <f t="shared" si="1"/>
        <v>0</v>
      </c>
      <c r="W17" s="122">
        <f t="shared" ref="W17:W45" si="2">+S17+O17+K17+G17</f>
        <v>0</v>
      </c>
    </row>
    <row r="18" spans="2:23">
      <c r="B18" s="169">
        <v>3</v>
      </c>
      <c r="C18" s="48" t="s">
        <v>53</v>
      </c>
      <c r="D18" s="210">
        <v>4653.5</v>
      </c>
      <c r="E18" s="208">
        <v>11</v>
      </c>
      <c r="F18" s="209">
        <v>0</v>
      </c>
      <c r="G18" s="292">
        <v>16</v>
      </c>
      <c r="H18" s="207"/>
      <c r="I18" s="208"/>
      <c r="J18" s="209"/>
      <c r="K18" s="292"/>
      <c r="L18" s="207"/>
      <c r="M18" s="208"/>
      <c r="N18" s="209"/>
      <c r="O18" s="293"/>
      <c r="P18" s="210"/>
      <c r="Q18" s="208"/>
      <c r="R18" s="209"/>
      <c r="S18" s="290"/>
      <c r="T18" s="136">
        <f t="shared" si="1"/>
        <v>4653.5</v>
      </c>
      <c r="U18" s="136">
        <f t="shared" si="1"/>
        <v>11</v>
      </c>
      <c r="V18" s="136">
        <f t="shared" si="1"/>
        <v>0</v>
      </c>
      <c r="W18" s="122">
        <f t="shared" si="2"/>
        <v>16</v>
      </c>
    </row>
    <row r="19" spans="2:23">
      <c r="B19" s="169">
        <v>4</v>
      </c>
      <c r="C19" s="48" t="s">
        <v>54</v>
      </c>
      <c r="D19" s="210">
        <v>230</v>
      </c>
      <c r="E19" s="208">
        <v>3</v>
      </c>
      <c r="F19" s="209">
        <v>0</v>
      </c>
      <c r="G19" s="292">
        <v>2</v>
      </c>
      <c r="H19" s="207"/>
      <c r="I19" s="208"/>
      <c r="J19" s="209"/>
      <c r="K19" s="292"/>
      <c r="L19" s="207"/>
      <c r="M19" s="208"/>
      <c r="N19" s="209"/>
      <c r="O19" s="293"/>
      <c r="P19" s="210"/>
      <c r="Q19" s="208"/>
      <c r="R19" s="209"/>
      <c r="S19" s="290"/>
      <c r="T19" s="136">
        <f t="shared" si="1"/>
        <v>230</v>
      </c>
      <c r="U19" s="136">
        <f t="shared" si="1"/>
        <v>3</v>
      </c>
      <c r="V19" s="136">
        <f t="shared" si="1"/>
        <v>0</v>
      </c>
      <c r="W19" s="122">
        <f t="shared" si="2"/>
        <v>2</v>
      </c>
    </row>
    <row r="20" spans="2:23" ht="14.25" customHeight="1">
      <c r="B20" s="169">
        <v>5</v>
      </c>
      <c r="C20" s="48" t="s">
        <v>55</v>
      </c>
      <c r="D20" s="210">
        <v>66447</v>
      </c>
      <c r="E20" s="208">
        <v>90</v>
      </c>
      <c r="F20" s="209">
        <v>0</v>
      </c>
      <c r="G20" s="292">
        <v>67</v>
      </c>
      <c r="H20" s="207"/>
      <c r="I20" s="208"/>
      <c r="J20" s="209"/>
      <c r="K20" s="292"/>
      <c r="L20" s="207"/>
      <c r="M20" s="208"/>
      <c r="N20" s="209"/>
      <c r="O20" s="293"/>
      <c r="P20" s="210"/>
      <c r="Q20" s="208"/>
      <c r="R20" s="209"/>
      <c r="S20" s="290"/>
      <c r="T20" s="136">
        <f t="shared" si="1"/>
        <v>66447</v>
      </c>
      <c r="U20" s="136">
        <f t="shared" si="1"/>
        <v>90</v>
      </c>
      <c r="V20" s="136">
        <f t="shared" si="1"/>
        <v>0</v>
      </c>
      <c r="W20" s="122">
        <f t="shared" si="2"/>
        <v>67</v>
      </c>
    </row>
    <row r="21" spans="2:23" hidden="1">
      <c r="B21" s="51"/>
      <c r="C21" s="48"/>
      <c r="D21" s="136"/>
      <c r="E21" s="137"/>
      <c r="F21" s="138"/>
      <c r="G21" s="290"/>
      <c r="H21" s="136"/>
      <c r="I21" s="137"/>
      <c r="J21" s="138"/>
      <c r="K21" s="290"/>
      <c r="L21" s="136"/>
      <c r="M21" s="137"/>
      <c r="N21" s="138"/>
      <c r="O21" s="290"/>
      <c r="P21" s="136"/>
      <c r="Q21" s="137"/>
      <c r="R21" s="138"/>
      <c r="S21" s="290"/>
      <c r="T21" s="136"/>
      <c r="U21" s="137"/>
      <c r="V21" s="138"/>
      <c r="W21" s="122">
        <f t="shared" si="2"/>
        <v>0</v>
      </c>
    </row>
    <row r="22" spans="2:23">
      <c r="B22" s="53" t="s">
        <v>56</v>
      </c>
      <c r="C22" s="54" t="s">
        <v>57</v>
      </c>
      <c r="D22" s="240">
        <f t="shared" ref="D22:J22" si="3">SUM(D23:D35)</f>
        <v>847156.4</v>
      </c>
      <c r="E22" s="240">
        <f t="shared" si="3"/>
        <v>378</v>
      </c>
      <c r="F22" s="240">
        <f t="shared" si="3"/>
        <v>0</v>
      </c>
      <c r="G22" s="240">
        <f t="shared" si="3"/>
        <v>130</v>
      </c>
      <c r="H22" s="240">
        <f t="shared" si="3"/>
        <v>0</v>
      </c>
      <c r="I22" s="240">
        <f t="shared" si="3"/>
        <v>0</v>
      </c>
      <c r="J22" s="240">
        <f t="shared" si="3"/>
        <v>0</v>
      </c>
      <c r="K22" s="240"/>
      <c r="L22" s="240">
        <f>SUM(L23:L35)</f>
        <v>0</v>
      </c>
      <c r="M22" s="240">
        <f>SUM(M23:M35)</f>
        <v>0</v>
      </c>
      <c r="N22" s="240">
        <f>SUM(N23:N35)</f>
        <v>0</v>
      </c>
      <c r="O22" s="240"/>
      <c r="P22" s="240">
        <f>SUM(P23:P35)</f>
        <v>0</v>
      </c>
      <c r="Q22" s="240">
        <f>SUM(Q23:Q35)</f>
        <v>0</v>
      </c>
      <c r="R22" s="240">
        <f>SUM(R23:R35)</f>
        <v>0</v>
      </c>
      <c r="S22" s="240"/>
      <c r="T22" s="240">
        <f t="shared" ref="T22:V22" si="4">SUM(T23:T35)</f>
        <v>847156.4</v>
      </c>
      <c r="U22" s="241">
        <f t="shared" si="4"/>
        <v>378</v>
      </c>
      <c r="V22" s="242">
        <f t="shared" si="4"/>
        <v>0</v>
      </c>
      <c r="W22" s="122">
        <f t="shared" si="2"/>
        <v>130</v>
      </c>
    </row>
    <row r="23" spans="2:23">
      <c r="B23" s="51">
        <v>6</v>
      </c>
      <c r="C23" s="48" t="s">
        <v>58</v>
      </c>
      <c r="D23" s="210">
        <v>826291.8</v>
      </c>
      <c r="E23" s="208">
        <v>357</v>
      </c>
      <c r="F23" s="209">
        <v>0</v>
      </c>
      <c r="G23" s="292">
        <v>49</v>
      </c>
      <c r="H23" s="207"/>
      <c r="I23" s="208"/>
      <c r="J23" s="209"/>
      <c r="K23" s="292"/>
      <c r="L23" s="207"/>
      <c r="M23" s="208"/>
      <c r="N23" s="209"/>
      <c r="O23" s="293"/>
      <c r="P23" s="210"/>
      <c r="Q23" s="208"/>
      <c r="R23" s="209"/>
      <c r="S23" s="290"/>
      <c r="T23" s="136">
        <f t="shared" ref="T23:T35" si="5">+D23+H23+L23+P23</f>
        <v>826291.8</v>
      </c>
      <c r="U23" s="136">
        <f>+E23+I23+M23+Q23</f>
        <v>357</v>
      </c>
      <c r="V23" s="136">
        <f>+F23+J23+N23+R23</f>
        <v>0</v>
      </c>
      <c r="W23" s="122">
        <f t="shared" si="2"/>
        <v>49</v>
      </c>
    </row>
    <row r="24" spans="2:23">
      <c r="B24" s="51">
        <v>7</v>
      </c>
      <c r="C24" s="48" t="s">
        <v>59</v>
      </c>
      <c r="D24" s="210"/>
      <c r="E24" s="208"/>
      <c r="F24" s="209"/>
      <c r="G24" s="292"/>
      <c r="H24" s="207"/>
      <c r="I24" s="208"/>
      <c r="J24" s="209"/>
      <c r="K24" s="292"/>
      <c r="L24" s="207"/>
      <c r="M24" s="208"/>
      <c r="N24" s="209"/>
      <c r="O24" s="293"/>
      <c r="P24" s="210"/>
      <c r="Q24" s="208"/>
      <c r="R24" s="209"/>
      <c r="S24" s="290"/>
      <c r="T24" s="136">
        <f t="shared" si="5"/>
        <v>0</v>
      </c>
      <c r="U24" s="137">
        <f t="shared" ref="U24:U30" si="6">E24+I24+M24+Q24</f>
        <v>0</v>
      </c>
      <c r="V24" s="136">
        <f t="shared" ref="V24:V35" si="7">+F24+J24+N24+R24</f>
        <v>0</v>
      </c>
      <c r="W24" s="122">
        <f t="shared" si="2"/>
        <v>0</v>
      </c>
    </row>
    <row r="25" spans="2:23" ht="28.5">
      <c r="B25" s="51">
        <v>8</v>
      </c>
      <c r="C25" s="48" t="s">
        <v>60</v>
      </c>
      <c r="D25" s="136"/>
      <c r="E25" s="137"/>
      <c r="F25" s="138"/>
      <c r="G25" s="292"/>
      <c r="H25" s="207"/>
      <c r="I25" s="208"/>
      <c r="J25" s="209"/>
      <c r="K25" s="292"/>
      <c r="L25" s="207"/>
      <c r="M25" s="208"/>
      <c r="N25" s="209"/>
      <c r="O25" s="293"/>
      <c r="P25" s="210"/>
      <c r="Q25" s="208"/>
      <c r="R25" s="209"/>
      <c r="S25" s="290"/>
      <c r="T25" s="136">
        <f t="shared" si="5"/>
        <v>0</v>
      </c>
      <c r="U25" s="137">
        <f t="shared" si="6"/>
        <v>0</v>
      </c>
      <c r="V25" s="136">
        <f t="shared" si="7"/>
        <v>0</v>
      </c>
      <c r="W25" s="122">
        <f t="shared" si="2"/>
        <v>0</v>
      </c>
    </row>
    <row r="26" spans="2:23">
      <c r="B26" s="51">
        <v>9</v>
      </c>
      <c r="C26" s="48" t="s">
        <v>61</v>
      </c>
      <c r="D26" s="136">
        <v>0.4</v>
      </c>
      <c r="E26" s="137">
        <v>2</v>
      </c>
      <c r="F26" s="138">
        <v>0</v>
      </c>
      <c r="G26" s="292">
        <v>2</v>
      </c>
      <c r="H26" s="207"/>
      <c r="I26" s="208"/>
      <c r="J26" s="209"/>
      <c r="K26" s="292"/>
      <c r="L26" s="207"/>
      <c r="M26" s="208"/>
      <c r="N26" s="209"/>
      <c r="O26" s="293"/>
      <c r="P26" s="210"/>
      <c r="Q26" s="208"/>
      <c r="R26" s="209"/>
      <c r="S26" s="290"/>
      <c r="T26" s="136">
        <f t="shared" si="5"/>
        <v>0.4</v>
      </c>
      <c r="U26" s="137">
        <f t="shared" si="6"/>
        <v>2</v>
      </c>
      <c r="V26" s="136">
        <f t="shared" si="7"/>
        <v>0</v>
      </c>
      <c r="W26" s="122">
        <f t="shared" si="2"/>
        <v>2</v>
      </c>
    </row>
    <row r="27" spans="2:23">
      <c r="B27" s="51">
        <v>10</v>
      </c>
      <c r="C27" s="48" t="s">
        <v>62</v>
      </c>
      <c r="D27" s="210">
        <v>0</v>
      </c>
      <c r="E27" s="208">
        <v>5</v>
      </c>
      <c r="F27" s="209">
        <v>0</v>
      </c>
      <c r="G27" s="292">
        <v>2</v>
      </c>
      <c r="H27" s="207"/>
      <c r="I27" s="211"/>
      <c r="J27" s="209"/>
      <c r="K27" s="292"/>
      <c r="L27" s="207"/>
      <c r="M27" s="211"/>
      <c r="N27" s="209"/>
      <c r="O27" s="293"/>
      <c r="P27" s="210"/>
      <c r="Q27" s="208"/>
      <c r="R27" s="209"/>
      <c r="S27" s="290"/>
      <c r="T27" s="136">
        <f t="shared" si="5"/>
        <v>0</v>
      </c>
      <c r="U27" s="137">
        <f t="shared" si="6"/>
        <v>5</v>
      </c>
      <c r="V27" s="136">
        <f t="shared" si="7"/>
        <v>0</v>
      </c>
      <c r="W27" s="122">
        <f t="shared" si="2"/>
        <v>2</v>
      </c>
    </row>
    <row r="28" spans="2:23">
      <c r="B28" s="51">
        <v>11</v>
      </c>
      <c r="C28" s="48" t="s">
        <v>63</v>
      </c>
      <c r="D28" s="210">
        <v>6800.7</v>
      </c>
      <c r="E28" s="208">
        <v>3</v>
      </c>
      <c r="F28" s="209">
        <v>0</v>
      </c>
      <c r="G28" s="292">
        <v>8</v>
      </c>
      <c r="H28" s="207"/>
      <c r="I28" s="208"/>
      <c r="J28" s="209"/>
      <c r="K28" s="292"/>
      <c r="L28" s="207"/>
      <c r="M28" s="208"/>
      <c r="N28" s="209"/>
      <c r="O28" s="293"/>
      <c r="P28" s="210"/>
      <c r="Q28" s="208"/>
      <c r="R28" s="209"/>
      <c r="S28" s="290"/>
      <c r="T28" s="136">
        <f t="shared" si="5"/>
        <v>6800.7</v>
      </c>
      <c r="U28" s="137">
        <f t="shared" si="6"/>
        <v>3</v>
      </c>
      <c r="V28" s="136">
        <f t="shared" si="7"/>
        <v>0</v>
      </c>
      <c r="W28" s="122">
        <f t="shared" si="2"/>
        <v>8</v>
      </c>
    </row>
    <row r="29" spans="2:23">
      <c r="B29" s="51">
        <v>12</v>
      </c>
      <c r="C29" s="48" t="s">
        <v>64</v>
      </c>
      <c r="D29" s="210">
        <v>0</v>
      </c>
      <c r="E29" s="208">
        <v>2</v>
      </c>
      <c r="F29" s="209">
        <v>0</v>
      </c>
      <c r="G29" s="292">
        <v>7</v>
      </c>
      <c r="H29" s="207"/>
      <c r="I29" s="208"/>
      <c r="J29" s="209"/>
      <c r="K29" s="292"/>
      <c r="L29" s="207"/>
      <c r="M29" s="208"/>
      <c r="N29" s="209"/>
      <c r="O29" s="293"/>
      <c r="P29" s="210"/>
      <c r="Q29" s="208"/>
      <c r="R29" s="209"/>
      <c r="S29" s="290"/>
      <c r="T29" s="136">
        <f t="shared" si="5"/>
        <v>0</v>
      </c>
      <c r="U29" s="137">
        <f t="shared" si="6"/>
        <v>2</v>
      </c>
      <c r="V29" s="136">
        <f t="shared" si="7"/>
        <v>0</v>
      </c>
      <c r="W29" s="122">
        <f t="shared" si="2"/>
        <v>7</v>
      </c>
    </row>
    <row r="30" spans="2:23" ht="29.1" customHeight="1">
      <c r="B30" s="51">
        <v>13</v>
      </c>
      <c r="C30" s="48" t="s">
        <v>65</v>
      </c>
      <c r="D30" s="210">
        <v>9600</v>
      </c>
      <c r="E30" s="208">
        <v>7</v>
      </c>
      <c r="F30" s="209">
        <v>0</v>
      </c>
      <c r="G30" s="292">
        <v>43</v>
      </c>
      <c r="H30" s="207"/>
      <c r="I30" s="208"/>
      <c r="J30" s="209"/>
      <c r="K30" s="292"/>
      <c r="L30" s="207"/>
      <c r="M30" s="208"/>
      <c r="N30" s="209"/>
      <c r="O30" s="293"/>
      <c r="P30" s="210"/>
      <c r="Q30" s="208"/>
      <c r="R30" s="209"/>
      <c r="S30" s="290"/>
      <c r="T30" s="136">
        <f t="shared" si="5"/>
        <v>9600</v>
      </c>
      <c r="U30" s="137">
        <f t="shared" si="6"/>
        <v>7</v>
      </c>
      <c r="V30" s="136">
        <f t="shared" si="7"/>
        <v>0</v>
      </c>
      <c r="W30" s="122">
        <f t="shared" si="2"/>
        <v>43</v>
      </c>
    </row>
    <row r="31" spans="2:23" ht="42" customHeight="1">
      <c r="B31" s="51"/>
      <c r="C31" s="48" t="s">
        <v>66</v>
      </c>
      <c r="D31" s="210">
        <v>4463.3</v>
      </c>
      <c r="E31" s="208">
        <v>0</v>
      </c>
      <c r="F31" s="209">
        <v>0</v>
      </c>
      <c r="G31" s="292">
        <v>4</v>
      </c>
      <c r="H31" s="207"/>
      <c r="I31" s="208"/>
      <c r="J31" s="209"/>
      <c r="K31" s="292"/>
      <c r="L31" s="207"/>
      <c r="M31" s="208"/>
      <c r="N31" s="209"/>
      <c r="O31" s="293"/>
      <c r="P31" s="210"/>
      <c r="Q31" s="208"/>
      <c r="R31" s="209"/>
      <c r="S31" s="290"/>
      <c r="T31" s="136">
        <f t="shared" si="5"/>
        <v>4463.3</v>
      </c>
      <c r="U31" s="137"/>
      <c r="V31" s="136">
        <f t="shared" si="7"/>
        <v>0</v>
      </c>
      <c r="W31" s="122">
        <f t="shared" si="2"/>
        <v>4</v>
      </c>
    </row>
    <row r="32" spans="2:23" ht="39" customHeight="1">
      <c r="B32" s="51">
        <v>14</v>
      </c>
      <c r="C32" s="48" t="s">
        <v>67</v>
      </c>
      <c r="D32" s="136"/>
      <c r="E32" s="137"/>
      <c r="F32" s="138"/>
      <c r="G32" s="293"/>
      <c r="H32" s="210"/>
      <c r="I32" s="208"/>
      <c r="J32" s="209"/>
      <c r="K32" s="293"/>
      <c r="L32" s="210"/>
      <c r="M32" s="208"/>
      <c r="N32" s="209"/>
      <c r="O32" s="293"/>
      <c r="P32" s="210"/>
      <c r="Q32" s="208"/>
      <c r="R32" s="209"/>
      <c r="S32" s="290"/>
      <c r="T32" s="136">
        <f t="shared" si="5"/>
        <v>0</v>
      </c>
      <c r="U32" s="137">
        <f>E32+I32+M32+Q32</f>
        <v>0</v>
      </c>
      <c r="V32" s="136">
        <f t="shared" si="7"/>
        <v>0</v>
      </c>
      <c r="W32" s="122">
        <f t="shared" si="2"/>
        <v>0</v>
      </c>
    </row>
    <row r="33" spans="1:26" ht="34.5" customHeight="1">
      <c r="B33" s="51">
        <v>15</v>
      </c>
      <c r="C33" s="48" t="s">
        <v>68</v>
      </c>
      <c r="D33" s="208">
        <v>0</v>
      </c>
      <c r="E33" s="208">
        <v>0</v>
      </c>
      <c r="F33" s="208">
        <v>0</v>
      </c>
      <c r="G33" s="208">
        <v>1</v>
      </c>
      <c r="H33" s="208"/>
      <c r="I33" s="208"/>
      <c r="J33" s="208"/>
      <c r="K33" s="295"/>
      <c r="L33" s="210"/>
      <c r="M33" s="208"/>
      <c r="N33" s="209"/>
      <c r="O33" s="293"/>
      <c r="P33" s="210"/>
      <c r="Q33" s="208"/>
      <c r="R33" s="209"/>
      <c r="S33" s="290"/>
      <c r="T33" s="136">
        <f t="shared" si="5"/>
        <v>0</v>
      </c>
      <c r="U33" s="137">
        <f>E33+I33+M33+Q33</f>
        <v>0</v>
      </c>
      <c r="V33" s="136">
        <f t="shared" si="7"/>
        <v>0</v>
      </c>
      <c r="W33" s="122">
        <f t="shared" si="2"/>
        <v>1</v>
      </c>
    </row>
    <row r="34" spans="1:26" ht="30.75" customHeight="1">
      <c r="B34" s="51">
        <v>16</v>
      </c>
      <c r="C34" s="48" t="s">
        <v>69</v>
      </c>
      <c r="D34" s="208">
        <v>0</v>
      </c>
      <c r="E34" s="208">
        <v>0</v>
      </c>
      <c r="F34" s="208">
        <v>0</v>
      </c>
      <c r="G34" s="208">
        <v>2</v>
      </c>
      <c r="H34" s="208"/>
      <c r="I34" s="208"/>
      <c r="J34" s="208"/>
      <c r="K34" s="295"/>
      <c r="L34" s="210"/>
      <c r="M34" s="208"/>
      <c r="N34" s="209"/>
      <c r="O34" s="293"/>
      <c r="P34" s="210"/>
      <c r="Q34" s="208"/>
      <c r="R34" s="209"/>
      <c r="S34" s="290"/>
      <c r="T34" s="136">
        <f t="shared" si="5"/>
        <v>0</v>
      </c>
      <c r="U34" s="299">
        <f>E34+I34+M34+Q34</f>
        <v>0</v>
      </c>
      <c r="V34" s="136">
        <f t="shared" si="7"/>
        <v>0</v>
      </c>
      <c r="W34" s="122">
        <f t="shared" si="2"/>
        <v>2</v>
      </c>
    </row>
    <row r="35" spans="1:26">
      <c r="B35" s="51">
        <v>17</v>
      </c>
      <c r="C35" s="48" t="s">
        <v>70</v>
      </c>
      <c r="D35" s="208">
        <v>0.2</v>
      </c>
      <c r="E35" s="208">
        <v>2</v>
      </c>
      <c r="F35" s="208">
        <v>0</v>
      </c>
      <c r="G35" s="208">
        <v>12</v>
      </c>
      <c r="H35" s="208"/>
      <c r="I35" s="208"/>
      <c r="J35" s="208"/>
      <c r="K35" s="296"/>
      <c r="L35" s="212"/>
      <c r="M35" s="213"/>
      <c r="N35" s="138"/>
      <c r="O35" s="290"/>
      <c r="P35" s="136"/>
      <c r="Q35" s="137"/>
      <c r="R35" s="138"/>
      <c r="S35" s="290"/>
      <c r="T35" s="136">
        <f t="shared" si="5"/>
        <v>0.2</v>
      </c>
      <c r="U35" s="137">
        <f>E35+I35+M35+Q35</f>
        <v>2</v>
      </c>
      <c r="V35" s="136">
        <f t="shared" si="7"/>
        <v>0</v>
      </c>
      <c r="W35" s="122">
        <f t="shared" si="2"/>
        <v>12</v>
      </c>
    </row>
    <row r="36" spans="1:26" ht="0.75" customHeight="1">
      <c r="B36" s="51"/>
      <c r="C36" s="48"/>
      <c r="D36" s="136"/>
      <c r="E36" s="137"/>
      <c r="F36" s="138"/>
      <c r="G36" s="290"/>
      <c r="H36" s="136"/>
      <c r="I36" s="137"/>
      <c r="J36" s="138"/>
      <c r="K36" s="290"/>
      <c r="L36" s="136"/>
      <c r="M36" s="137"/>
      <c r="N36" s="138"/>
      <c r="O36" s="290"/>
      <c r="P36" s="136"/>
      <c r="Q36" s="137"/>
      <c r="R36" s="138"/>
      <c r="S36" s="290"/>
      <c r="T36" s="136"/>
      <c r="U36" s="137"/>
      <c r="V36" s="138"/>
      <c r="W36" s="122">
        <f t="shared" si="2"/>
        <v>0</v>
      </c>
    </row>
    <row r="37" spans="1:26">
      <c r="B37" s="53" t="s">
        <v>71</v>
      </c>
      <c r="C37" s="54" t="s">
        <v>72</v>
      </c>
      <c r="D37" s="240">
        <f t="shared" ref="D37:J37" si="8">SUM(D38:D44)</f>
        <v>616627.39999999991</v>
      </c>
      <c r="E37" s="240">
        <f t="shared" si="8"/>
        <v>1338</v>
      </c>
      <c r="F37" s="240">
        <f t="shared" si="8"/>
        <v>0</v>
      </c>
      <c r="G37" s="240">
        <f t="shared" si="8"/>
        <v>1347</v>
      </c>
      <c r="H37" s="240">
        <f t="shared" si="8"/>
        <v>0</v>
      </c>
      <c r="I37" s="240">
        <f t="shared" si="8"/>
        <v>0</v>
      </c>
      <c r="J37" s="240">
        <f t="shared" si="8"/>
        <v>0</v>
      </c>
      <c r="K37" s="240"/>
      <c r="L37" s="240">
        <f>SUM(L38:L44)</f>
        <v>0</v>
      </c>
      <c r="M37" s="240">
        <f>SUM(M38:M44)</f>
        <v>0</v>
      </c>
      <c r="N37" s="240">
        <f>SUM(N38:N44)</f>
        <v>0</v>
      </c>
      <c r="O37" s="240"/>
      <c r="P37" s="240">
        <f>SUM(P38:P44)</f>
        <v>0</v>
      </c>
      <c r="Q37" s="240">
        <f>SUM(Q38:Q44)</f>
        <v>0</v>
      </c>
      <c r="R37" s="240">
        <f>SUM(R38:R44)</f>
        <v>0</v>
      </c>
      <c r="S37" s="240"/>
      <c r="T37" s="240">
        <f>SUM(T38:T44)</f>
        <v>616627.39999999991</v>
      </c>
      <c r="U37" s="241">
        <f t="shared" ref="U37:V37" si="9">SUM(U38:U44)</f>
        <v>1338</v>
      </c>
      <c r="V37" s="242">
        <f t="shared" si="9"/>
        <v>0</v>
      </c>
      <c r="W37" s="122">
        <f t="shared" si="2"/>
        <v>1347</v>
      </c>
    </row>
    <row r="38" spans="1:26">
      <c r="A38" s="166"/>
      <c r="B38" s="51">
        <v>18</v>
      </c>
      <c r="C38" s="48" t="s">
        <v>73</v>
      </c>
      <c r="D38" s="136">
        <v>68548.2</v>
      </c>
      <c r="E38" s="137">
        <v>46</v>
      </c>
      <c r="F38" s="138">
        <v>0</v>
      </c>
      <c r="G38" s="294">
        <v>59</v>
      </c>
      <c r="H38" s="212"/>
      <c r="I38" s="213"/>
      <c r="J38" s="138"/>
      <c r="K38" s="294"/>
      <c r="L38" s="212"/>
      <c r="M38" s="213"/>
      <c r="N38" s="138"/>
      <c r="O38" s="290"/>
      <c r="P38" s="136"/>
      <c r="Q38" s="137"/>
      <c r="R38" s="138"/>
      <c r="S38" s="290"/>
      <c r="T38" s="136">
        <f>+D38+H38+L38+P38</f>
        <v>68548.2</v>
      </c>
      <c r="U38" s="136">
        <f>+E38+I38+M38+Q38</f>
        <v>46</v>
      </c>
      <c r="V38" s="136">
        <f>+F38+J38+N38+R38</f>
        <v>0</v>
      </c>
      <c r="W38" s="122">
        <f t="shared" si="2"/>
        <v>59</v>
      </c>
    </row>
    <row r="39" spans="1:26">
      <c r="A39" s="166"/>
      <c r="B39" s="51">
        <v>19</v>
      </c>
      <c r="C39" s="48" t="s">
        <v>74</v>
      </c>
      <c r="D39" s="136">
        <v>220081.1</v>
      </c>
      <c r="E39" s="137">
        <v>46</v>
      </c>
      <c r="F39" s="138">
        <v>0</v>
      </c>
      <c r="G39" s="294">
        <v>305</v>
      </c>
      <c r="H39" s="212"/>
      <c r="I39" s="213"/>
      <c r="J39" s="138"/>
      <c r="K39" s="294"/>
      <c r="L39" s="212"/>
      <c r="M39" s="213"/>
      <c r="N39" s="138"/>
      <c r="O39" s="290"/>
      <c r="P39" s="136"/>
      <c r="Q39" s="137"/>
      <c r="R39" s="138"/>
      <c r="S39" s="290"/>
      <c r="T39" s="136">
        <f t="shared" ref="T39:T45" si="10">+D39+H39+L39+P39</f>
        <v>220081.1</v>
      </c>
      <c r="U39" s="136">
        <f t="shared" ref="U39:U45" si="11">+E39+I39+M39+Q39</f>
        <v>46</v>
      </c>
      <c r="V39" s="136">
        <f t="shared" ref="V39:V45" si="12">+F39+J39+N39+R39</f>
        <v>0</v>
      </c>
      <c r="W39" s="122">
        <f t="shared" si="2"/>
        <v>305</v>
      </c>
    </row>
    <row r="40" spans="1:26">
      <c r="A40" s="166"/>
      <c r="B40" s="51">
        <v>20</v>
      </c>
      <c r="C40" s="48" t="s">
        <v>75</v>
      </c>
      <c r="D40" s="136">
        <v>61751.3</v>
      </c>
      <c r="E40" s="137">
        <v>524</v>
      </c>
      <c r="F40" s="138">
        <v>0</v>
      </c>
      <c r="G40" s="294">
        <v>562</v>
      </c>
      <c r="H40" s="212"/>
      <c r="I40" s="213"/>
      <c r="J40" s="138"/>
      <c r="K40" s="294"/>
      <c r="L40" s="212"/>
      <c r="M40" s="213"/>
      <c r="N40" s="138"/>
      <c r="O40" s="290"/>
      <c r="P40" s="136"/>
      <c r="Q40" s="137"/>
      <c r="R40" s="138"/>
      <c r="S40" s="290"/>
      <c r="T40" s="136">
        <f t="shared" si="10"/>
        <v>61751.3</v>
      </c>
      <c r="U40" s="136">
        <f t="shared" si="11"/>
        <v>524</v>
      </c>
      <c r="V40" s="136">
        <f t="shared" si="12"/>
        <v>0</v>
      </c>
      <c r="W40" s="122">
        <f t="shared" si="2"/>
        <v>562</v>
      </c>
    </row>
    <row r="41" spans="1:26">
      <c r="A41" s="166"/>
      <c r="B41" s="51">
        <v>21</v>
      </c>
      <c r="C41" s="48" t="s">
        <v>76</v>
      </c>
      <c r="D41" s="136">
        <v>28420.3</v>
      </c>
      <c r="E41" s="137">
        <v>83</v>
      </c>
      <c r="F41" s="138">
        <v>0</v>
      </c>
      <c r="G41" s="294">
        <v>85</v>
      </c>
      <c r="H41" s="212"/>
      <c r="I41" s="213"/>
      <c r="J41" s="138"/>
      <c r="K41" s="294"/>
      <c r="L41" s="212"/>
      <c r="M41" s="213"/>
      <c r="N41" s="138"/>
      <c r="O41" s="290"/>
      <c r="P41" s="136"/>
      <c r="Q41" s="137"/>
      <c r="R41" s="138"/>
      <c r="S41" s="290"/>
      <c r="T41" s="136">
        <f t="shared" si="10"/>
        <v>28420.3</v>
      </c>
      <c r="U41" s="136">
        <f t="shared" si="11"/>
        <v>83</v>
      </c>
      <c r="V41" s="136">
        <f t="shared" si="12"/>
        <v>0</v>
      </c>
      <c r="W41" s="122">
        <f t="shared" si="2"/>
        <v>85</v>
      </c>
    </row>
    <row r="42" spans="1:26" ht="28.5">
      <c r="A42" s="166"/>
      <c r="B42" s="51">
        <v>22</v>
      </c>
      <c r="C42" s="48" t="s">
        <v>77</v>
      </c>
      <c r="D42" s="136"/>
      <c r="E42" s="137"/>
      <c r="F42" s="138"/>
      <c r="G42" s="294"/>
      <c r="H42" s="212"/>
      <c r="I42" s="213"/>
      <c r="J42" s="138"/>
      <c r="K42" s="294"/>
      <c r="L42" s="212"/>
      <c r="M42" s="213"/>
      <c r="N42" s="138"/>
      <c r="O42" s="290"/>
      <c r="P42" s="136"/>
      <c r="Q42" s="137"/>
      <c r="R42" s="138"/>
      <c r="S42" s="290"/>
      <c r="T42" s="136">
        <f t="shared" si="10"/>
        <v>0</v>
      </c>
      <c r="U42" s="136">
        <f t="shared" si="11"/>
        <v>0</v>
      </c>
      <c r="V42" s="136">
        <f t="shared" si="12"/>
        <v>0</v>
      </c>
      <c r="W42" s="122">
        <f t="shared" si="2"/>
        <v>0</v>
      </c>
      <c r="Z42">
        <f>232+1632</f>
        <v>1864</v>
      </c>
    </row>
    <row r="43" spans="1:26" ht="28.5">
      <c r="A43" s="166"/>
      <c r="B43" s="51">
        <v>23</v>
      </c>
      <c r="C43" s="48" t="s">
        <v>78</v>
      </c>
      <c r="D43" s="136">
        <v>122958.9</v>
      </c>
      <c r="E43" s="137">
        <v>169</v>
      </c>
      <c r="F43" s="138">
        <v>0</v>
      </c>
      <c r="G43" s="290">
        <v>179</v>
      </c>
      <c r="H43" s="136"/>
      <c r="I43" s="137"/>
      <c r="J43" s="138"/>
      <c r="K43" s="294"/>
      <c r="L43" s="212"/>
      <c r="M43" s="213"/>
      <c r="N43" s="138"/>
      <c r="O43" s="290"/>
      <c r="P43" s="136"/>
      <c r="Q43" s="137"/>
      <c r="R43" s="138"/>
      <c r="S43" s="290"/>
      <c r="T43" s="136">
        <f t="shared" si="10"/>
        <v>122958.9</v>
      </c>
      <c r="U43" s="136">
        <f t="shared" si="11"/>
        <v>169</v>
      </c>
      <c r="V43" s="136">
        <f t="shared" si="12"/>
        <v>0</v>
      </c>
      <c r="W43" s="122">
        <f t="shared" si="2"/>
        <v>179</v>
      </c>
    </row>
    <row r="44" spans="1:26">
      <c r="A44" s="166"/>
      <c r="B44" s="51">
        <v>24</v>
      </c>
      <c r="C44" s="48" t="s">
        <v>79</v>
      </c>
      <c r="D44" s="136">
        <v>114867.6</v>
      </c>
      <c r="E44" s="137">
        <v>470</v>
      </c>
      <c r="F44" s="138">
        <v>0</v>
      </c>
      <c r="G44" s="290">
        <v>157</v>
      </c>
      <c r="H44" s="136"/>
      <c r="I44" s="137"/>
      <c r="J44" s="138"/>
      <c r="K44" s="294"/>
      <c r="L44" s="212"/>
      <c r="M44" s="213"/>
      <c r="N44" s="138"/>
      <c r="O44" s="290"/>
      <c r="P44" s="136"/>
      <c r="Q44" s="137"/>
      <c r="R44" s="138"/>
      <c r="S44" s="290"/>
      <c r="T44" s="136">
        <f t="shared" si="10"/>
        <v>114867.6</v>
      </c>
      <c r="U44" s="136">
        <f t="shared" si="11"/>
        <v>470</v>
      </c>
      <c r="V44" s="136">
        <f t="shared" si="12"/>
        <v>0</v>
      </c>
      <c r="W44" s="122">
        <f t="shared" si="2"/>
        <v>157</v>
      </c>
    </row>
    <row r="45" spans="1:26">
      <c r="B45" s="51"/>
      <c r="C45" s="125"/>
      <c r="D45" s="136"/>
      <c r="E45" s="214"/>
      <c r="F45" s="215"/>
      <c r="G45" s="290"/>
      <c r="H45" s="136"/>
      <c r="I45" s="214"/>
      <c r="J45" s="215"/>
      <c r="K45" s="290"/>
      <c r="L45" s="136"/>
      <c r="M45" s="214"/>
      <c r="N45" s="215"/>
      <c r="O45" s="290"/>
      <c r="P45" s="136"/>
      <c r="Q45" s="214"/>
      <c r="R45" s="215"/>
      <c r="S45" s="290"/>
      <c r="T45" s="136">
        <f t="shared" si="10"/>
        <v>0</v>
      </c>
      <c r="U45" s="136">
        <f t="shared" si="11"/>
        <v>0</v>
      </c>
      <c r="V45" s="136">
        <f t="shared" si="12"/>
        <v>0</v>
      </c>
      <c r="W45" s="122">
        <f t="shared" si="2"/>
        <v>0</v>
      </c>
    </row>
    <row r="46" spans="1:26">
      <c r="B46" s="346" t="s">
        <v>80</v>
      </c>
      <c r="C46" s="347"/>
      <c r="D46" s="216">
        <f t="shared" ref="D46:J46" si="13">D37+D22+D16</f>
        <v>1535114.2999999998</v>
      </c>
      <c r="E46" s="216">
        <f t="shared" si="13"/>
        <v>1820</v>
      </c>
      <c r="F46" s="216">
        <f t="shared" si="13"/>
        <v>0</v>
      </c>
      <c r="G46" s="216">
        <f t="shared" si="13"/>
        <v>1562</v>
      </c>
      <c r="H46" s="216">
        <f t="shared" si="13"/>
        <v>0</v>
      </c>
      <c r="I46" s="216">
        <f t="shared" si="13"/>
        <v>0</v>
      </c>
      <c r="J46" s="216">
        <f t="shared" si="13"/>
        <v>0</v>
      </c>
      <c r="K46" s="216"/>
      <c r="L46" s="216">
        <f>L37+L22+L16</f>
        <v>0</v>
      </c>
      <c r="M46" s="216">
        <f>M37+M22+M16</f>
        <v>0</v>
      </c>
      <c r="N46" s="216">
        <f>N37+N22+N16</f>
        <v>0</v>
      </c>
      <c r="O46" s="216"/>
      <c r="P46" s="216">
        <f>P37+P22+P16</f>
        <v>0</v>
      </c>
      <c r="Q46" s="216">
        <f>Q37+Q22+Q16</f>
        <v>0</v>
      </c>
      <c r="R46" s="216">
        <f>R37+R22+R16</f>
        <v>0</v>
      </c>
      <c r="S46" s="216"/>
      <c r="T46" s="216">
        <f t="shared" ref="T46:W46" si="14">T37+T22+T16</f>
        <v>1535114.2999999998</v>
      </c>
      <c r="U46" s="216">
        <f t="shared" si="14"/>
        <v>1820</v>
      </c>
      <c r="V46" s="216">
        <f t="shared" si="14"/>
        <v>0</v>
      </c>
      <c r="W46" s="216">
        <f t="shared" si="14"/>
        <v>1562</v>
      </c>
      <c r="X46" s="280" t="e">
        <f>+#REF!-1560</f>
        <v>#REF!</v>
      </c>
    </row>
    <row r="47" spans="1:26" hidden="1">
      <c r="K47" s="146"/>
      <c r="L47" s="150">
        <v>868732</v>
      </c>
      <c r="O47" s="297"/>
      <c r="P47" s="219">
        <v>673435</v>
      </c>
    </row>
    <row r="48" spans="1:26" hidden="1"/>
    <row r="49" spans="15:22">
      <c r="O49" s="6"/>
      <c r="P49" s="6"/>
      <c r="S49" s="280"/>
      <c r="T49" s="280">
        <f>+D46-T46</f>
        <v>0</v>
      </c>
      <c r="V49">
        <f>37-12</f>
        <v>25</v>
      </c>
    </row>
    <row r="50" spans="15:22">
      <c r="O50" s="280"/>
      <c r="P50" s="280"/>
      <c r="Q50" s="280"/>
    </row>
    <row r="51" spans="15:22">
      <c r="S51" s="162"/>
      <c r="T51" s="162"/>
    </row>
    <row r="52" spans="15:22">
      <c r="S52" s="163"/>
      <c r="T52" s="163"/>
    </row>
    <row r="54" spans="15:22">
      <c r="S54" s="221"/>
      <c r="T54" s="221"/>
    </row>
  </sheetData>
  <mergeCells count="23">
    <mergeCell ref="B6:W6"/>
    <mergeCell ref="B7:W7"/>
    <mergeCell ref="B8:W8"/>
    <mergeCell ref="B9:W9"/>
    <mergeCell ref="D12:F12"/>
    <mergeCell ref="H12:J12"/>
    <mergeCell ref="L12:N12"/>
    <mergeCell ref="P12:R12"/>
    <mergeCell ref="T12:V12"/>
    <mergeCell ref="X13:X14"/>
    <mergeCell ref="W13:W14"/>
    <mergeCell ref="B46:C46"/>
    <mergeCell ref="B12:B14"/>
    <mergeCell ref="C12:C14"/>
    <mergeCell ref="G13:G14"/>
    <mergeCell ref="K13:K14"/>
    <mergeCell ref="O13:O14"/>
    <mergeCell ref="S13:S14"/>
    <mergeCell ref="E13:F13"/>
    <mergeCell ref="I13:J13"/>
    <mergeCell ref="M13:N13"/>
    <mergeCell ref="Q13:R13"/>
    <mergeCell ref="U13:V13"/>
  </mergeCells>
  <printOptions horizontalCentered="1"/>
  <pageMargins left="1.1041666670000001" right="0.35416666666666702" top="0.98402777777777795" bottom="0.98402777777777795" header="0.51180555555555596" footer="0.51180555555555596"/>
  <pageSetup paperSize="9" scale="79" orientation="portrait" r:id="rId1"/>
  <rowBreaks count="1" manualBreakCount="1">
    <brk id="46" max="26" man="1"/>
  </rowBreaks>
  <colBreaks count="1" manualBreakCount="1">
    <brk id="20" max="45" man="1"/>
  </colBreaks>
  <drawing r:id="rId2"/>
  <legacyDrawing r:id="rId3"/>
  <oleObjects>
    <mc:AlternateContent xmlns:mc="http://schemas.openxmlformats.org/markup-compatibility/2006">
      <mc:Choice Requires="x14">
        <oleObject progId="PBrush" shapeId="3075" r:id="rId4">
          <objectPr defaultSize="0" autoPict="0" altText="" r:id="rId5">
            <anchor moveWithCells="1" sizeWithCells="1">
              <from>
                <xdr:col>9</xdr:col>
                <xdr:colOff>600075</xdr:colOff>
                <xdr:row>0</xdr:row>
                <xdr:rowOff>152400</xdr:rowOff>
              </from>
              <to>
                <xdr:col>11</xdr:col>
                <xdr:colOff>790575</xdr:colOff>
                <xdr:row>5</xdr:row>
                <xdr:rowOff>9525</xdr:rowOff>
              </to>
            </anchor>
          </objectPr>
        </oleObject>
      </mc:Choice>
      <mc:Fallback>
        <oleObject progId="PBrush" shapeId="307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F84"/>
  <sheetViews>
    <sheetView view="pageBreakPreview" topLeftCell="A12" zoomScaleNormal="100" workbookViewId="0">
      <selection activeCell="D39" sqref="D39"/>
    </sheetView>
  </sheetViews>
  <sheetFormatPr defaultColWidth="9.140625" defaultRowHeight="15"/>
  <cols>
    <col min="1" max="1" width="0.5703125" customWidth="1"/>
    <col min="2" max="2" width="5.85546875" customWidth="1"/>
    <col min="3" max="3" width="33.7109375" customWidth="1"/>
    <col min="4" max="4" width="14.140625" customWidth="1"/>
    <col min="5" max="5" width="10.140625" customWidth="1"/>
    <col min="6" max="6" width="7.85546875" customWidth="1"/>
    <col min="7" max="8" width="15.28515625" customWidth="1"/>
    <col min="9" max="9" width="10.85546875" customWidth="1"/>
    <col min="10" max="10" width="8" customWidth="1"/>
    <col min="11" max="11" width="8.140625" customWidth="1"/>
    <col min="12" max="12" width="13" customWidth="1"/>
    <col min="13" max="13" width="11.85546875" customWidth="1"/>
    <col min="14" max="15" width="10" customWidth="1"/>
    <col min="16" max="16" width="12.5703125" customWidth="1"/>
    <col min="17" max="17" width="10.42578125" customWidth="1"/>
    <col min="18" max="19" width="8.28515625" customWidth="1"/>
    <col min="20" max="20" width="15.5703125" customWidth="1"/>
    <col min="21" max="21" width="10.140625" customWidth="1"/>
    <col min="22" max="22" width="10"/>
    <col min="23" max="24" width="10.85546875"/>
    <col min="28" max="28" width="14.5703125" customWidth="1"/>
    <col min="29" max="29" width="12.5703125" customWidth="1"/>
  </cols>
  <sheetData>
    <row r="1" spans="2:24" ht="15" customHeight="1">
      <c r="B1" s="2"/>
      <c r="C1" s="3"/>
      <c r="D1" s="4"/>
      <c r="E1" s="4"/>
      <c r="F1" s="2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2:24" ht="15" customHeight="1">
      <c r="B2" s="2"/>
      <c r="C2" s="3"/>
      <c r="D2" s="4"/>
      <c r="E2" s="4"/>
      <c r="F2" s="2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2:24" ht="15" customHeight="1">
      <c r="B3" s="2"/>
      <c r="C3" s="3"/>
      <c r="D3" s="4"/>
      <c r="E3" s="4"/>
      <c r="F3" s="2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2:24" ht="15" customHeight="1">
      <c r="B4" s="2"/>
      <c r="C4" s="3"/>
      <c r="D4" s="4"/>
      <c r="E4" s="4"/>
      <c r="F4" s="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2:24" ht="15" customHeight="1">
      <c r="B5" s="2"/>
      <c r="C5" s="3"/>
      <c r="D5" s="4"/>
      <c r="E5" s="4"/>
      <c r="F5" s="2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ht="15" customHeight="1">
      <c r="B6" s="2"/>
      <c r="C6" s="3"/>
      <c r="D6" s="4"/>
      <c r="E6" s="4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2:24" ht="18">
      <c r="B7" s="354" t="s">
        <v>33</v>
      </c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4"/>
      <c r="X7" s="354"/>
    </row>
    <row r="8" spans="2:24" ht="18">
      <c r="B8" s="354" t="s">
        <v>34</v>
      </c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354"/>
      <c r="X8" s="354"/>
    </row>
    <row r="9" spans="2:24" ht="18">
      <c r="B9" s="354" t="s">
        <v>81</v>
      </c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</row>
    <row r="10" spans="2:24" ht="18">
      <c r="B10" s="354" t="s">
        <v>36</v>
      </c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  <c r="V10" s="354"/>
      <c r="W10" s="354"/>
      <c r="X10" s="354"/>
    </row>
    <row r="11" spans="2:24"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</row>
    <row r="12" spans="2:24">
      <c r="B12" s="355" t="s">
        <v>82</v>
      </c>
      <c r="C12" s="355" t="s">
        <v>83</v>
      </c>
      <c r="D12" s="355" t="s">
        <v>39</v>
      </c>
      <c r="E12" s="355"/>
      <c r="F12" s="356"/>
      <c r="G12" s="350" t="s">
        <v>46</v>
      </c>
      <c r="H12" s="356" t="s">
        <v>40</v>
      </c>
      <c r="I12" s="364"/>
      <c r="J12" s="364"/>
      <c r="K12" s="350" t="s">
        <v>46</v>
      </c>
      <c r="L12" s="356" t="s">
        <v>41</v>
      </c>
      <c r="M12" s="364"/>
      <c r="N12" s="359"/>
      <c r="O12" s="350" t="s">
        <v>46</v>
      </c>
      <c r="P12" s="356" t="s">
        <v>42</v>
      </c>
      <c r="Q12" s="364"/>
      <c r="R12" s="359"/>
      <c r="S12" s="350" t="s">
        <v>46</v>
      </c>
      <c r="T12" s="356" t="s">
        <v>43</v>
      </c>
      <c r="U12" s="364"/>
      <c r="V12" s="359"/>
      <c r="W12" s="288"/>
    </row>
    <row r="13" spans="2:24" ht="23.1" customHeight="1">
      <c r="B13" s="355"/>
      <c r="C13" s="355"/>
      <c r="D13" s="361" t="s">
        <v>84</v>
      </c>
      <c r="E13" s="355" t="s">
        <v>45</v>
      </c>
      <c r="F13" s="356"/>
      <c r="G13" s="360"/>
      <c r="H13" s="361" t="s">
        <v>84</v>
      </c>
      <c r="I13" s="355" t="s">
        <v>45</v>
      </c>
      <c r="J13" s="355"/>
      <c r="K13" s="360"/>
      <c r="L13" s="361" t="s">
        <v>84</v>
      </c>
      <c r="M13" s="355" t="s">
        <v>45</v>
      </c>
      <c r="N13" s="355"/>
      <c r="O13" s="360"/>
      <c r="P13" s="361" t="s">
        <v>84</v>
      </c>
      <c r="Q13" s="355" t="s">
        <v>45</v>
      </c>
      <c r="R13" s="355"/>
      <c r="S13" s="360"/>
      <c r="T13" s="361" t="s">
        <v>84</v>
      </c>
      <c r="U13" s="355" t="s">
        <v>45</v>
      </c>
      <c r="V13" s="355"/>
      <c r="W13" s="350" t="s">
        <v>46</v>
      </c>
    </row>
    <row r="14" spans="2:24" ht="23.1" customHeight="1">
      <c r="B14" s="355"/>
      <c r="C14" s="355"/>
      <c r="D14" s="361"/>
      <c r="E14" s="37" t="s">
        <v>85</v>
      </c>
      <c r="F14" s="71" t="s">
        <v>49</v>
      </c>
      <c r="G14" s="351"/>
      <c r="H14" s="361"/>
      <c r="I14" s="37" t="s">
        <v>85</v>
      </c>
      <c r="J14" s="37" t="s">
        <v>49</v>
      </c>
      <c r="K14" s="351"/>
      <c r="L14" s="361"/>
      <c r="M14" s="37" t="s">
        <v>85</v>
      </c>
      <c r="N14" s="37" t="s">
        <v>49</v>
      </c>
      <c r="O14" s="351"/>
      <c r="P14" s="361"/>
      <c r="Q14" s="37" t="s">
        <v>85</v>
      </c>
      <c r="R14" s="37" t="s">
        <v>49</v>
      </c>
      <c r="S14" s="351"/>
      <c r="T14" s="361"/>
      <c r="U14" s="37" t="s">
        <v>85</v>
      </c>
      <c r="V14" s="37" t="s">
        <v>49</v>
      </c>
      <c r="W14" s="351"/>
    </row>
    <row r="15" spans="2:24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spans="2:24">
      <c r="B16" s="29"/>
      <c r="C16" s="223" t="s">
        <v>86</v>
      </c>
      <c r="D16" s="224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</row>
    <row r="17" spans="2:32">
      <c r="B17" s="225">
        <v>1</v>
      </c>
      <c r="C17" s="24" t="s">
        <v>87</v>
      </c>
      <c r="D17" s="10">
        <v>4143.3999999999996</v>
      </c>
      <c r="E17" s="10">
        <v>9</v>
      </c>
      <c r="F17" s="10">
        <v>0</v>
      </c>
      <c r="G17" s="19">
        <v>27</v>
      </c>
      <c r="H17" s="19"/>
      <c r="I17" s="19"/>
      <c r="J17" s="19"/>
      <c r="K17" s="59"/>
      <c r="L17" s="68"/>
      <c r="M17" s="98"/>
      <c r="N17" s="19"/>
      <c r="O17" s="19"/>
      <c r="P17" s="19"/>
      <c r="Q17" s="19"/>
      <c r="R17" s="19"/>
      <c r="S17" s="19"/>
      <c r="T17" s="19">
        <f t="shared" ref="T17:T28" si="0">D17+H17+L17+P17</f>
        <v>4143.3999999999996</v>
      </c>
      <c r="U17" s="19">
        <f t="shared" ref="U17:U28" si="1">E17+I17+M17+Q17</f>
        <v>9</v>
      </c>
      <c r="V17" s="19">
        <f>+F17</f>
        <v>0</v>
      </c>
      <c r="W17" s="19">
        <f>G17</f>
        <v>27</v>
      </c>
    </row>
    <row r="18" spans="2:32">
      <c r="B18" s="225">
        <v>2</v>
      </c>
      <c r="C18" s="24" t="s">
        <v>88</v>
      </c>
      <c r="D18" s="18">
        <v>62518.78</v>
      </c>
      <c r="E18" s="18">
        <v>17</v>
      </c>
      <c r="F18" s="18">
        <v>0</v>
      </c>
      <c r="G18" s="19">
        <v>90</v>
      </c>
      <c r="H18" s="19"/>
      <c r="I18" s="19"/>
      <c r="J18" s="19"/>
      <c r="K18" s="59"/>
      <c r="L18" s="68"/>
      <c r="M18" s="98"/>
      <c r="N18" s="19"/>
      <c r="O18" s="19"/>
      <c r="P18" s="19"/>
      <c r="Q18" s="19"/>
      <c r="R18" s="19"/>
      <c r="S18" s="19"/>
      <c r="T18" s="19">
        <f t="shared" si="0"/>
        <v>62518.78</v>
      </c>
      <c r="U18" s="19">
        <f t="shared" si="1"/>
        <v>17</v>
      </c>
      <c r="V18" s="19">
        <f t="shared" ref="V18:V28" si="2">+F18</f>
        <v>0</v>
      </c>
      <c r="W18" s="19">
        <f t="shared" ref="W18:W38" si="3">G18</f>
        <v>90</v>
      </c>
    </row>
    <row r="19" spans="2:32">
      <c r="B19" s="225">
        <v>3</v>
      </c>
      <c r="C19" s="24" t="s">
        <v>89</v>
      </c>
      <c r="D19" s="18">
        <v>148.6</v>
      </c>
      <c r="E19" s="18">
        <v>1</v>
      </c>
      <c r="F19" s="18">
        <v>0</v>
      </c>
      <c r="G19" s="19">
        <v>26</v>
      </c>
      <c r="H19" s="19"/>
      <c r="I19" s="19"/>
      <c r="J19" s="19"/>
      <c r="K19" s="59"/>
      <c r="L19" s="68"/>
      <c r="M19" s="98"/>
      <c r="N19" s="19"/>
      <c r="O19" s="19"/>
      <c r="P19" s="19"/>
      <c r="Q19" s="19"/>
      <c r="R19" s="19"/>
      <c r="S19" s="19"/>
      <c r="T19" s="19">
        <f t="shared" si="0"/>
        <v>148.6</v>
      </c>
      <c r="U19" s="19">
        <f t="shared" si="1"/>
        <v>1</v>
      </c>
      <c r="V19" s="19">
        <f t="shared" si="2"/>
        <v>0</v>
      </c>
      <c r="W19" s="19">
        <f t="shared" si="3"/>
        <v>26</v>
      </c>
    </row>
    <row r="20" spans="2:32">
      <c r="B20" s="225">
        <v>4</v>
      </c>
      <c r="C20" s="24" t="s">
        <v>90</v>
      </c>
      <c r="D20" s="18">
        <v>69985.3</v>
      </c>
      <c r="E20" s="18">
        <v>15</v>
      </c>
      <c r="F20" s="18">
        <v>0</v>
      </c>
      <c r="G20" s="19">
        <v>22</v>
      </c>
      <c r="H20" s="19"/>
      <c r="I20" s="19"/>
      <c r="J20" s="19"/>
      <c r="K20" s="59"/>
      <c r="L20" s="68"/>
      <c r="M20" s="98"/>
      <c r="N20" s="19"/>
      <c r="O20" s="19"/>
      <c r="P20" s="19"/>
      <c r="Q20" s="19"/>
      <c r="R20" s="19"/>
      <c r="S20" s="19"/>
      <c r="T20" s="19">
        <f t="shared" si="0"/>
        <v>69985.3</v>
      </c>
      <c r="U20" s="19">
        <f t="shared" si="1"/>
        <v>15</v>
      </c>
      <c r="V20" s="19">
        <f t="shared" si="2"/>
        <v>0</v>
      </c>
      <c r="W20" s="19">
        <f t="shared" si="3"/>
        <v>22</v>
      </c>
    </row>
    <row r="21" spans="2:32">
      <c r="B21" s="225">
        <v>5</v>
      </c>
      <c r="C21" s="24" t="s">
        <v>91</v>
      </c>
      <c r="D21" s="18">
        <v>25093.4</v>
      </c>
      <c r="E21" s="18">
        <v>18</v>
      </c>
      <c r="F21" s="18">
        <v>0</v>
      </c>
      <c r="G21" s="19">
        <v>29</v>
      </c>
      <c r="H21" s="19"/>
      <c r="I21" s="19"/>
      <c r="J21" s="19"/>
      <c r="K21" s="59"/>
      <c r="L21" s="68"/>
      <c r="M21" s="98"/>
      <c r="N21" s="19"/>
      <c r="O21" s="19"/>
      <c r="P21" s="19"/>
      <c r="Q21" s="19"/>
      <c r="R21" s="19"/>
      <c r="S21" s="19"/>
      <c r="T21" s="19">
        <f t="shared" si="0"/>
        <v>25093.4</v>
      </c>
      <c r="U21" s="19">
        <f t="shared" si="1"/>
        <v>18</v>
      </c>
      <c r="V21" s="19">
        <f t="shared" si="2"/>
        <v>0</v>
      </c>
      <c r="W21" s="19">
        <f t="shared" si="3"/>
        <v>29</v>
      </c>
    </row>
    <row r="22" spans="2:32">
      <c r="B22" s="225">
        <v>6</v>
      </c>
      <c r="C22" s="24" t="s">
        <v>92</v>
      </c>
      <c r="D22" s="18">
        <v>363393.4</v>
      </c>
      <c r="E22" s="18">
        <v>34</v>
      </c>
      <c r="F22" s="18">
        <v>0</v>
      </c>
      <c r="G22" s="19">
        <v>86</v>
      </c>
      <c r="H22" s="19"/>
      <c r="I22" s="19"/>
      <c r="J22" s="19"/>
      <c r="K22" s="59"/>
      <c r="L22" s="68"/>
      <c r="M22" s="98"/>
      <c r="N22" s="19"/>
      <c r="O22" s="19"/>
      <c r="P22" s="19"/>
      <c r="Q22" s="19"/>
      <c r="R22" s="19"/>
      <c r="S22" s="19"/>
      <c r="T22" s="19">
        <f t="shared" si="0"/>
        <v>363393.4</v>
      </c>
      <c r="U22" s="19">
        <f t="shared" si="1"/>
        <v>34</v>
      </c>
      <c r="V22" s="19">
        <f t="shared" si="2"/>
        <v>0</v>
      </c>
      <c r="W22" s="19">
        <f t="shared" si="3"/>
        <v>86</v>
      </c>
    </row>
    <row r="23" spans="2:32">
      <c r="B23" s="225">
        <v>7</v>
      </c>
      <c r="C23" s="24" t="s">
        <v>93</v>
      </c>
      <c r="D23" s="18">
        <v>10897.9</v>
      </c>
      <c r="E23" s="18">
        <v>11</v>
      </c>
      <c r="F23" s="18">
        <v>0</v>
      </c>
      <c r="G23" s="19">
        <v>34</v>
      </c>
      <c r="H23" s="19"/>
      <c r="I23" s="19"/>
      <c r="J23" s="19"/>
      <c r="K23" s="59"/>
      <c r="L23" s="68"/>
      <c r="M23" s="98"/>
      <c r="N23" s="19"/>
      <c r="O23" s="19"/>
      <c r="P23" s="19"/>
      <c r="Q23" s="19"/>
      <c r="R23" s="19"/>
      <c r="S23" s="19"/>
      <c r="T23" s="19">
        <f t="shared" si="0"/>
        <v>10897.9</v>
      </c>
      <c r="U23" s="19">
        <f t="shared" si="1"/>
        <v>11</v>
      </c>
      <c r="V23" s="19">
        <f t="shared" si="2"/>
        <v>0</v>
      </c>
      <c r="W23" s="19">
        <f t="shared" si="3"/>
        <v>34</v>
      </c>
    </row>
    <row r="24" spans="2:32">
      <c r="B24" s="225">
        <v>8</v>
      </c>
      <c r="C24" s="24" t="s">
        <v>94</v>
      </c>
      <c r="D24" s="18">
        <v>76636.800000000003</v>
      </c>
      <c r="E24" s="18">
        <v>92</v>
      </c>
      <c r="F24" s="18">
        <v>0</v>
      </c>
      <c r="G24" s="19">
        <v>70</v>
      </c>
      <c r="H24" s="19"/>
      <c r="I24" s="19"/>
      <c r="J24" s="19"/>
      <c r="K24" s="59"/>
      <c r="L24" s="68"/>
      <c r="M24" s="98"/>
      <c r="N24" s="19"/>
      <c r="O24" s="19"/>
      <c r="P24" s="19"/>
      <c r="Q24" s="19"/>
      <c r="R24" s="19"/>
      <c r="S24" s="19"/>
      <c r="T24" s="19">
        <f t="shared" si="0"/>
        <v>76636.800000000003</v>
      </c>
      <c r="U24" s="19">
        <f t="shared" si="1"/>
        <v>92</v>
      </c>
      <c r="V24" s="19">
        <f t="shared" si="2"/>
        <v>0</v>
      </c>
      <c r="W24" s="19">
        <f t="shared" si="3"/>
        <v>70</v>
      </c>
    </row>
    <row r="25" spans="2:32">
      <c r="B25" s="225">
        <v>9</v>
      </c>
      <c r="C25" s="24" t="s">
        <v>95</v>
      </c>
      <c r="D25" s="18">
        <v>1248.8</v>
      </c>
      <c r="E25" s="18">
        <v>3</v>
      </c>
      <c r="F25" s="18">
        <v>0</v>
      </c>
      <c r="G25" s="19">
        <v>182</v>
      </c>
      <c r="H25" s="19"/>
      <c r="I25" s="19"/>
      <c r="J25" s="19"/>
      <c r="K25" s="59"/>
      <c r="L25" s="68"/>
      <c r="M25" s="98"/>
      <c r="N25" s="19"/>
      <c r="O25" s="19"/>
      <c r="P25" s="19"/>
      <c r="Q25" s="19"/>
      <c r="R25" s="19"/>
      <c r="S25" s="19"/>
      <c r="T25" s="19">
        <f t="shared" si="0"/>
        <v>1248.8</v>
      </c>
      <c r="U25" s="19">
        <f t="shared" si="1"/>
        <v>3</v>
      </c>
      <c r="V25" s="19">
        <f t="shared" si="2"/>
        <v>0</v>
      </c>
      <c r="W25" s="19">
        <f t="shared" si="3"/>
        <v>182</v>
      </c>
      <c r="AB25" t="s">
        <v>96</v>
      </c>
      <c r="AF25" t="s">
        <v>97</v>
      </c>
    </row>
    <row r="26" spans="2:32">
      <c r="B26" s="225">
        <v>10</v>
      </c>
      <c r="C26" s="24" t="s">
        <v>98</v>
      </c>
      <c r="D26" s="18">
        <v>11173.2</v>
      </c>
      <c r="E26" s="18">
        <v>12</v>
      </c>
      <c r="F26" s="18">
        <v>0</v>
      </c>
      <c r="G26" s="19">
        <v>23</v>
      </c>
      <c r="H26" s="19"/>
      <c r="I26" s="19"/>
      <c r="J26" s="19"/>
      <c r="K26" s="59"/>
      <c r="L26" s="68"/>
      <c r="M26" s="98"/>
      <c r="N26" s="19"/>
      <c r="O26" s="19"/>
      <c r="P26" s="19"/>
      <c r="Q26" s="19"/>
      <c r="R26" s="19"/>
      <c r="S26" s="19"/>
      <c r="T26" s="19">
        <f t="shared" si="0"/>
        <v>11173.2</v>
      </c>
      <c r="U26" s="19">
        <f t="shared" si="1"/>
        <v>12</v>
      </c>
      <c r="V26" s="19">
        <f t="shared" si="2"/>
        <v>0</v>
      </c>
      <c r="W26" s="19">
        <f t="shared" si="3"/>
        <v>23</v>
      </c>
      <c r="AB26" t="s">
        <v>99</v>
      </c>
      <c r="AC26" s="129">
        <v>819489.9</v>
      </c>
      <c r="AD26" t="s">
        <v>100</v>
      </c>
    </row>
    <row r="27" spans="2:32">
      <c r="B27" s="225">
        <v>11</v>
      </c>
      <c r="C27" s="24" t="s">
        <v>101</v>
      </c>
      <c r="D27" s="18">
        <v>36401.1</v>
      </c>
      <c r="E27" s="18">
        <v>19</v>
      </c>
      <c r="F27" s="18">
        <v>0</v>
      </c>
      <c r="G27" s="19">
        <v>55</v>
      </c>
      <c r="H27" s="19"/>
      <c r="I27" s="19"/>
      <c r="J27" s="19"/>
      <c r="K27" s="59"/>
      <c r="L27" s="68"/>
      <c r="M27" s="98"/>
      <c r="N27" s="19"/>
      <c r="O27" s="19"/>
      <c r="P27" s="19"/>
      <c r="Q27" s="19"/>
      <c r="R27" s="19"/>
      <c r="S27" s="19"/>
      <c r="T27" s="19">
        <f t="shared" si="0"/>
        <v>36401.1</v>
      </c>
      <c r="U27" s="19">
        <f t="shared" si="1"/>
        <v>19</v>
      </c>
      <c r="V27" s="19">
        <f t="shared" si="2"/>
        <v>0</v>
      </c>
      <c r="W27" s="19">
        <f t="shared" si="3"/>
        <v>55</v>
      </c>
    </row>
    <row r="28" spans="2:32">
      <c r="B28" s="225">
        <v>12</v>
      </c>
      <c r="C28" s="24" t="s">
        <v>102</v>
      </c>
      <c r="D28" s="18">
        <v>646348.30000000005</v>
      </c>
      <c r="E28" s="18">
        <v>418</v>
      </c>
      <c r="F28" s="18">
        <v>0</v>
      </c>
      <c r="G28" s="19">
        <v>48</v>
      </c>
      <c r="H28" s="19"/>
      <c r="I28" s="19"/>
      <c r="J28" s="19"/>
      <c r="K28" s="59"/>
      <c r="L28" s="68"/>
      <c r="M28" s="98"/>
      <c r="N28" s="19"/>
      <c r="O28" s="19"/>
      <c r="P28" s="19"/>
      <c r="Q28" s="19"/>
      <c r="R28" s="19"/>
      <c r="S28" s="19"/>
      <c r="T28" s="19">
        <f t="shared" si="0"/>
        <v>646348.30000000005</v>
      </c>
      <c r="U28" s="19">
        <f t="shared" si="1"/>
        <v>418</v>
      </c>
      <c r="V28" s="19">
        <f t="shared" si="2"/>
        <v>0</v>
      </c>
      <c r="W28" s="19">
        <f t="shared" si="3"/>
        <v>48</v>
      </c>
      <c r="AB28" t="s">
        <v>103</v>
      </c>
      <c r="AC28" s="6">
        <v>13331.8</v>
      </c>
      <c r="AD28" t="s">
        <v>104</v>
      </c>
    </row>
    <row r="29" spans="2:32">
      <c r="B29" s="225"/>
      <c r="C29" s="29"/>
      <c r="D29" s="22"/>
      <c r="E29" s="22"/>
      <c r="F29" s="22"/>
      <c r="G29" s="10"/>
      <c r="H29" s="10"/>
      <c r="I29" s="10"/>
      <c r="J29" s="10"/>
      <c r="K29" s="60"/>
      <c r="L29" s="92"/>
      <c r="M29" s="100"/>
      <c r="N29" s="10"/>
      <c r="O29" s="10"/>
      <c r="P29" s="10"/>
      <c r="Q29" s="10"/>
      <c r="R29" s="10"/>
      <c r="S29" s="10"/>
      <c r="T29" s="321"/>
      <c r="U29" s="321"/>
      <c r="V29" s="321"/>
      <c r="W29" s="321"/>
    </row>
    <row r="30" spans="2:32">
      <c r="B30" s="225"/>
      <c r="C30" s="223" t="s">
        <v>105</v>
      </c>
      <c r="D30" s="22"/>
      <c r="E30" s="22"/>
      <c r="F30" s="18"/>
      <c r="G30" s="10"/>
      <c r="H30" s="10"/>
      <c r="I30" s="10"/>
      <c r="J30" s="10"/>
      <c r="K30" s="59"/>
      <c r="L30" s="92"/>
      <c r="M30" s="100"/>
      <c r="N30" s="19"/>
      <c r="O30" s="19"/>
      <c r="P30" s="10"/>
      <c r="Q30" s="10"/>
      <c r="R30" s="19"/>
      <c r="S30" s="19"/>
      <c r="T30" s="321"/>
      <c r="U30" s="321"/>
      <c r="V30" s="321"/>
      <c r="W30" s="321"/>
    </row>
    <row r="31" spans="2:32">
      <c r="B31" s="225">
        <v>13</v>
      </c>
      <c r="C31" s="24" t="s">
        <v>106</v>
      </c>
      <c r="D31" s="18">
        <v>196187.8</v>
      </c>
      <c r="E31" s="18">
        <v>1048</v>
      </c>
      <c r="F31" s="18">
        <v>0</v>
      </c>
      <c r="G31" s="19">
        <v>711</v>
      </c>
      <c r="H31" s="19"/>
      <c r="I31" s="19"/>
      <c r="J31" s="19"/>
      <c r="K31" s="59"/>
      <c r="L31" s="68"/>
      <c r="M31" s="98"/>
      <c r="N31" s="19"/>
      <c r="O31" s="19"/>
      <c r="P31" s="19"/>
      <c r="Q31" s="19"/>
      <c r="R31" s="19"/>
      <c r="S31" s="19"/>
      <c r="T31" s="19">
        <f t="shared" ref="T31:U37" si="4">D31+H31+L31+P31</f>
        <v>196187.8</v>
      </c>
      <c r="U31" s="19">
        <f t="shared" si="4"/>
        <v>1048</v>
      </c>
      <c r="V31" s="19">
        <f t="shared" ref="V31:V37" si="5">+F31</f>
        <v>0</v>
      </c>
      <c r="W31" s="19">
        <f t="shared" si="3"/>
        <v>711</v>
      </c>
    </row>
    <row r="32" spans="2:32">
      <c r="B32" s="225">
        <v>14</v>
      </c>
      <c r="C32" s="24" t="s">
        <v>89</v>
      </c>
      <c r="D32" s="18">
        <v>743</v>
      </c>
      <c r="E32" s="18">
        <v>8</v>
      </c>
      <c r="F32" s="18">
        <v>0</v>
      </c>
      <c r="G32" s="19">
        <v>19</v>
      </c>
      <c r="H32" s="19"/>
      <c r="I32" s="19"/>
      <c r="J32" s="19"/>
      <c r="K32" s="59"/>
      <c r="L32" s="68"/>
      <c r="M32" s="98"/>
      <c r="N32" s="19"/>
      <c r="O32" s="19"/>
      <c r="P32" s="19"/>
      <c r="Q32" s="19"/>
      <c r="R32" s="19"/>
      <c r="S32" s="19"/>
      <c r="T32" s="19">
        <f t="shared" si="4"/>
        <v>743</v>
      </c>
      <c r="U32" s="19">
        <f t="shared" si="4"/>
        <v>8</v>
      </c>
      <c r="V32" s="19">
        <f t="shared" si="5"/>
        <v>0</v>
      </c>
      <c r="W32" s="19">
        <f t="shared" si="3"/>
        <v>19</v>
      </c>
      <c r="AE32">
        <f>228+1632+9</f>
        <v>1869</v>
      </c>
    </row>
    <row r="33" spans="2:29">
      <c r="B33" s="225">
        <v>15</v>
      </c>
      <c r="C33" s="24" t="s">
        <v>107</v>
      </c>
      <c r="D33" s="18">
        <v>18451.900000000001</v>
      </c>
      <c r="E33" s="18">
        <v>29</v>
      </c>
      <c r="F33" s="18">
        <v>0</v>
      </c>
      <c r="G33" s="19">
        <v>56</v>
      </c>
      <c r="H33" s="19"/>
      <c r="I33" s="19"/>
      <c r="J33" s="19"/>
      <c r="K33" s="59"/>
      <c r="L33" s="68"/>
      <c r="M33" s="98"/>
      <c r="N33" s="19"/>
      <c r="O33" s="19"/>
      <c r="P33" s="19"/>
      <c r="Q33" s="19"/>
      <c r="R33" s="19"/>
      <c r="S33" s="19"/>
      <c r="T33" s="19">
        <f t="shared" si="4"/>
        <v>18451.900000000001</v>
      </c>
      <c r="U33" s="19">
        <f t="shared" si="4"/>
        <v>29</v>
      </c>
      <c r="V33" s="19">
        <f t="shared" si="5"/>
        <v>0</v>
      </c>
      <c r="W33" s="19">
        <f t="shared" si="3"/>
        <v>56</v>
      </c>
      <c r="AC33">
        <f>228+1632</f>
        <v>1860</v>
      </c>
    </row>
    <row r="34" spans="2:29" ht="15" customHeight="1">
      <c r="B34" s="225">
        <v>16</v>
      </c>
      <c r="C34" s="24" t="s">
        <v>108</v>
      </c>
      <c r="D34" s="18">
        <v>2402.9</v>
      </c>
      <c r="E34" s="18">
        <v>9</v>
      </c>
      <c r="F34" s="18">
        <v>0</v>
      </c>
      <c r="G34" s="19">
        <v>31</v>
      </c>
      <c r="H34" s="19"/>
      <c r="I34" s="19"/>
      <c r="J34" s="19"/>
      <c r="K34" s="59"/>
      <c r="L34" s="68"/>
      <c r="M34" s="98"/>
      <c r="N34" s="19"/>
      <c r="O34" s="19"/>
      <c r="P34" s="19"/>
      <c r="Q34" s="19"/>
      <c r="R34" s="19"/>
      <c r="S34" s="19"/>
      <c r="T34" s="19">
        <f t="shared" si="4"/>
        <v>2402.9</v>
      </c>
      <c r="U34" s="19">
        <f t="shared" si="4"/>
        <v>9</v>
      </c>
      <c r="V34" s="19">
        <f t="shared" si="5"/>
        <v>0</v>
      </c>
      <c r="W34" s="19">
        <f t="shared" si="3"/>
        <v>31</v>
      </c>
      <c r="AC34">
        <v>9</v>
      </c>
    </row>
    <row r="35" spans="2:29">
      <c r="B35" s="225">
        <v>17</v>
      </c>
      <c r="C35" s="24" t="s">
        <v>109</v>
      </c>
      <c r="D35" s="18">
        <v>324.39999999999998</v>
      </c>
      <c r="E35" s="18">
        <v>12</v>
      </c>
      <c r="F35" s="18">
        <v>0</v>
      </c>
      <c r="G35" s="19">
        <v>17</v>
      </c>
      <c r="H35" s="19"/>
      <c r="I35" s="19"/>
      <c r="J35" s="19"/>
      <c r="K35" s="59"/>
      <c r="L35" s="68"/>
      <c r="M35" s="98"/>
      <c r="N35" s="19"/>
      <c r="O35" s="19"/>
      <c r="P35" s="19"/>
      <c r="Q35" s="19"/>
      <c r="R35" s="19"/>
      <c r="S35" s="19"/>
      <c r="T35" s="19">
        <f t="shared" si="4"/>
        <v>324.39999999999998</v>
      </c>
      <c r="U35" s="19">
        <f t="shared" si="4"/>
        <v>12</v>
      </c>
      <c r="V35" s="19">
        <f t="shared" si="5"/>
        <v>0</v>
      </c>
      <c r="W35" s="19">
        <f t="shared" si="3"/>
        <v>17</v>
      </c>
    </row>
    <row r="36" spans="2:29">
      <c r="B36" s="225">
        <v>18</v>
      </c>
      <c r="C36" s="24" t="s">
        <v>110</v>
      </c>
      <c r="D36" s="18">
        <v>8312.2000000000007</v>
      </c>
      <c r="E36" s="18">
        <v>12</v>
      </c>
      <c r="F36" s="18">
        <v>0</v>
      </c>
      <c r="G36" s="19">
        <v>22</v>
      </c>
      <c r="H36" s="19"/>
      <c r="I36" s="19"/>
      <c r="J36" s="19"/>
      <c r="K36" s="59"/>
      <c r="L36" s="68"/>
      <c r="M36" s="98"/>
      <c r="N36" s="19"/>
      <c r="O36" s="19"/>
      <c r="P36" s="19"/>
      <c r="Q36" s="19"/>
      <c r="R36" s="19"/>
      <c r="S36" s="19"/>
      <c r="T36" s="19">
        <f t="shared" si="4"/>
        <v>8312.2000000000007</v>
      </c>
      <c r="U36" s="19">
        <f t="shared" si="4"/>
        <v>12</v>
      </c>
      <c r="V36" s="19">
        <f t="shared" si="5"/>
        <v>0</v>
      </c>
      <c r="W36" s="19">
        <f t="shared" si="3"/>
        <v>22</v>
      </c>
    </row>
    <row r="37" spans="2:29">
      <c r="B37" s="225">
        <v>19</v>
      </c>
      <c r="C37" s="24" t="s">
        <v>111</v>
      </c>
      <c r="D37" s="18">
        <v>703.2</v>
      </c>
      <c r="E37" s="18">
        <v>53</v>
      </c>
      <c r="F37" s="18">
        <v>0</v>
      </c>
      <c r="G37" s="19">
        <v>14</v>
      </c>
      <c r="H37" s="19"/>
      <c r="I37" s="19"/>
      <c r="J37" s="19"/>
      <c r="K37" s="59"/>
      <c r="L37" s="68"/>
      <c r="M37" s="98"/>
      <c r="N37" s="19"/>
      <c r="O37" s="19"/>
      <c r="P37" s="19"/>
      <c r="Q37" s="19"/>
      <c r="R37" s="19"/>
      <c r="S37" s="19"/>
      <c r="T37" s="19">
        <f t="shared" si="4"/>
        <v>703.2</v>
      </c>
      <c r="U37" s="19">
        <f t="shared" si="4"/>
        <v>53</v>
      </c>
      <c r="V37" s="19">
        <f t="shared" si="5"/>
        <v>0</v>
      </c>
      <c r="W37" s="19">
        <f t="shared" si="3"/>
        <v>14</v>
      </c>
    </row>
    <row r="38" spans="2:29">
      <c r="B38" s="29"/>
      <c r="C38" s="29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9">
        <f>D38+H38+L38+P38</f>
        <v>0</v>
      </c>
      <c r="U38" s="10"/>
      <c r="V38" s="10"/>
      <c r="W38" s="19">
        <f t="shared" si="3"/>
        <v>0</v>
      </c>
    </row>
    <row r="39" spans="2:29">
      <c r="B39" s="362" t="s">
        <v>112</v>
      </c>
      <c r="C39" s="362"/>
      <c r="D39" s="279">
        <f>SUM(D17:D37)</f>
        <v>1535114.3799999997</v>
      </c>
      <c r="E39" s="279">
        <f>SUM(E17:E37)</f>
        <v>1820</v>
      </c>
      <c r="F39" s="279">
        <f>SUM(F17:F37)</f>
        <v>0</v>
      </c>
      <c r="G39" s="279">
        <f>SUM(G17:G37)</f>
        <v>1562</v>
      </c>
      <c r="H39" s="279">
        <f t="shared" ref="H39:W39" si="6">SUM(H17:H37)</f>
        <v>0</v>
      </c>
      <c r="I39" s="279">
        <f t="shared" si="6"/>
        <v>0</v>
      </c>
      <c r="J39" s="279"/>
      <c r="K39" s="279"/>
      <c r="L39" s="279">
        <f t="shared" si="6"/>
        <v>0</v>
      </c>
      <c r="M39" s="279">
        <f t="shared" si="6"/>
        <v>0</v>
      </c>
      <c r="N39" s="279">
        <f t="shared" si="6"/>
        <v>0</v>
      </c>
      <c r="O39" s="279"/>
      <c r="P39" s="279">
        <f t="shared" si="6"/>
        <v>0</v>
      </c>
      <c r="Q39" s="279">
        <f t="shared" si="6"/>
        <v>0</v>
      </c>
      <c r="R39" s="279">
        <f t="shared" si="6"/>
        <v>0</v>
      </c>
      <c r="S39" s="279"/>
      <c r="T39" s="279">
        <f t="shared" si="6"/>
        <v>1535114.3799999997</v>
      </c>
      <c r="U39" s="279">
        <f t="shared" si="6"/>
        <v>1820</v>
      </c>
      <c r="V39" s="279">
        <f t="shared" si="6"/>
        <v>0</v>
      </c>
      <c r="W39" s="279">
        <f t="shared" si="6"/>
        <v>1562</v>
      </c>
      <c r="Y39" s="289">
        <f>6833-6817</f>
        <v>16</v>
      </c>
    </row>
    <row r="40" spans="2:29">
      <c r="E40" s="280">
        <f>+E39-1820</f>
        <v>0</v>
      </c>
      <c r="T40" s="363"/>
      <c r="U40" s="363"/>
    </row>
    <row r="41" spans="2:29" hidden="1">
      <c r="B41" s="35">
        <v>2021</v>
      </c>
      <c r="C41" t="s">
        <v>38</v>
      </c>
    </row>
    <row r="42" spans="2:29" hidden="1">
      <c r="B42" s="348" t="s">
        <v>37</v>
      </c>
      <c r="C42" s="349" t="s">
        <v>38</v>
      </c>
      <c r="D42" s="355" t="s">
        <v>39</v>
      </c>
      <c r="E42" s="355"/>
      <c r="F42" s="356"/>
      <c r="G42" s="281"/>
      <c r="H42" s="357" t="s">
        <v>40</v>
      </c>
      <c r="I42" s="355"/>
      <c r="J42" s="356"/>
      <c r="K42" s="281"/>
      <c r="L42" s="359" t="s">
        <v>41</v>
      </c>
      <c r="M42" s="355"/>
      <c r="N42" s="356"/>
      <c r="O42" s="281"/>
      <c r="P42" s="357" t="s">
        <v>42</v>
      </c>
      <c r="Q42" s="355"/>
      <c r="R42" s="358"/>
      <c r="S42" s="281"/>
      <c r="T42" s="359" t="s">
        <v>43</v>
      </c>
      <c r="U42" s="355"/>
      <c r="V42" s="355"/>
    </row>
    <row r="43" spans="2:29" hidden="1">
      <c r="B43" s="348"/>
      <c r="C43" s="349"/>
      <c r="D43" s="39" t="s">
        <v>44</v>
      </c>
      <c r="E43" s="343" t="s">
        <v>45</v>
      </c>
      <c r="F43" s="352"/>
      <c r="G43" s="282"/>
      <c r="H43" s="39" t="s">
        <v>44</v>
      </c>
      <c r="I43" s="343" t="s">
        <v>45</v>
      </c>
      <c r="J43" s="353"/>
      <c r="K43" s="282"/>
      <c r="L43" s="39" t="s">
        <v>44</v>
      </c>
      <c r="M43" s="343" t="s">
        <v>45</v>
      </c>
      <c r="N43" s="352"/>
      <c r="O43" s="282"/>
      <c r="P43" s="39" t="s">
        <v>44</v>
      </c>
      <c r="Q43" s="343" t="s">
        <v>45</v>
      </c>
      <c r="R43" s="352"/>
      <c r="S43" s="282"/>
      <c r="T43" s="39" t="s">
        <v>44</v>
      </c>
      <c r="U43" s="343" t="s">
        <v>45</v>
      </c>
      <c r="V43" s="352"/>
    </row>
    <row r="44" spans="2:29" ht="30" hidden="1">
      <c r="B44" s="348"/>
      <c r="C44" s="349"/>
      <c r="D44" s="39" t="s">
        <v>47</v>
      </c>
      <c r="E44" s="73" t="s">
        <v>48</v>
      </c>
      <c r="F44" s="74" t="s">
        <v>49</v>
      </c>
      <c r="G44" s="282"/>
      <c r="H44" s="39" t="s">
        <v>47</v>
      </c>
      <c r="I44" s="73" t="s">
        <v>48</v>
      </c>
      <c r="J44" s="298"/>
      <c r="K44" s="282"/>
      <c r="L44" s="39" t="s">
        <v>47</v>
      </c>
      <c r="M44" s="73" t="s">
        <v>48</v>
      </c>
      <c r="N44" s="74" t="s">
        <v>49</v>
      </c>
      <c r="O44" s="282"/>
      <c r="P44" s="39" t="s">
        <v>47</v>
      </c>
      <c r="Q44" s="73" t="s">
        <v>48</v>
      </c>
      <c r="R44" s="74" t="s">
        <v>49</v>
      </c>
      <c r="S44" s="282"/>
      <c r="T44" s="39" t="s">
        <v>47</v>
      </c>
      <c r="U44" s="73" t="s">
        <v>48</v>
      </c>
      <c r="V44" s="74" t="s">
        <v>49</v>
      </c>
    </row>
    <row r="45" spans="2:29" hidden="1">
      <c r="B45" s="40"/>
      <c r="C45" s="41"/>
      <c r="D45" s="43"/>
      <c r="E45" s="53"/>
      <c r="F45" s="76"/>
      <c r="G45" s="283"/>
      <c r="H45" s="43"/>
      <c r="I45" s="53"/>
      <c r="J45" s="260"/>
      <c r="K45" s="283"/>
      <c r="L45" s="43"/>
      <c r="M45" s="53"/>
      <c r="N45" s="76"/>
      <c r="O45" s="283"/>
      <c r="P45" s="43"/>
      <c r="Q45" s="53"/>
      <c r="R45" s="76"/>
      <c r="S45" s="283"/>
      <c r="T45" s="43"/>
      <c r="U45" s="53"/>
      <c r="V45" s="76"/>
    </row>
    <row r="46" spans="2:29" hidden="1">
      <c r="B46" s="40" t="s">
        <v>50</v>
      </c>
      <c r="C46" s="44" t="s">
        <v>51</v>
      </c>
      <c r="D46" s="46">
        <f>SUM(D47:D50)</f>
        <v>31477.5</v>
      </c>
      <c r="E46" s="78">
        <f>SUM(E47:E50)</f>
        <v>61</v>
      </c>
      <c r="F46" s="79">
        <f>SUM(F47:F50)</f>
        <v>0</v>
      </c>
      <c r="G46" s="284"/>
      <c r="H46" s="46">
        <f t="shared" ref="H46:V46" si="7">SUM(H47:H50)</f>
        <v>343135.4</v>
      </c>
      <c r="I46" s="78">
        <f t="shared" si="7"/>
        <v>69</v>
      </c>
      <c r="J46" s="315"/>
      <c r="K46" s="80"/>
      <c r="L46" s="46">
        <f t="shared" si="7"/>
        <v>105381.6</v>
      </c>
      <c r="M46" s="46">
        <f t="shared" si="7"/>
        <v>133</v>
      </c>
      <c r="N46" s="46">
        <f t="shared" si="7"/>
        <v>0</v>
      </c>
      <c r="O46" s="46"/>
      <c r="P46" s="46">
        <f t="shared" si="7"/>
        <v>154406.09999999998</v>
      </c>
      <c r="Q46" s="78">
        <f t="shared" si="7"/>
        <v>242</v>
      </c>
      <c r="R46" s="79">
        <f t="shared" si="7"/>
        <v>0</v>
      </c>
      <c r="S46" s="80"/>
      <c r="T46" s="46">
        <f t="shared" si="7"/>
        <v>634400.6</v>
      </c>
      <c r="U46" s="78">
        <f t="shared" si="7"/>
        <v>505</v>
      </c>
      <c r="V46" s="79" t="e">
        <f t="shared" si="7"/>
        <v>#REF!</v>
      </c>
    </row>
    <row r="47" spans="2:29" ht="28.5" hidden="1">
      <c r="B47" s="47">
        <v>1</v>
      </c>
      <c r="C47" s="48" t="s">
        <v>52</v>
      </c>
      <c r="D47" s="50">
        <v>26350.1</v>
      </c>
      <c r="E47" s="82">
        <v>38</v>
      </c>
      <c r="F47" s="83">
        <v>0</v>
      </c>
      <c r="G47" s="285"/>
      <c r="H47" s="56">
        <v>340535.3</v>
      </c>
      <c r="I47" s="47">
        <v>67</v>
      </c>
      <c r="J47" s="316"/>
      <c r="K47" s="287"/>
      <c r="L47" s="94">
        <v>102735.7</v>
      </c>
      <c r="M47" s="101">
        <v>106</v>
      </c>
      <c r="N47" s="102">
        <v>0</v>
      </c>
      <c r="O47" s="285"/>
      <c r="P47" s="56">
        <v>95019.9</v>
      </c>
      <c r="Q47" s="47">
        <v>207</v>
      </c>
      <c r="R47" s="85">
        <v>0</v>
      </c>
      <c r="S47" s="287"/>
      <c r="T47" s="56">
        <f t="shared" ref="T47:U50" si="8">D47+H47+L47+P47</f>
        <v>564641</v>
      </c>
      <c r="U47" s="47">
        <f t="shared" si="8"/>
        <v>418</v>
      </c>
      <c r="V47" s="85" t="e">
        <f>F47+#REF!+N47+R47</f>
        <v>#REF!</v>
      </c>
    </row>
    <row r="48" spans="2:29" hidden="1">
      <c r="B48" s="47">
        <v>3</v>
      </c>
      <c r="C48" s="48" t="s">
        <v>53</v>
      </c>
      <c r="D48" s="50">
        <v>0</v>
      </c>
      <c r="E48" s="82">
        <v>0</v>
      </c>
      <c r="F48" s="83">
        <v>0</v>
      </c>
      <c r="G48" s="286"/>
      <c r="H48" s="50">
        <v>1021.2</v>
      </c>
      <c r="I48" s="82"/>
      <c r="J48" s="317"/>
      <c r="K48" s="84"/>
      <c r="L48" s="95">
        <v>234.8</v>
      </c>
      <c r="M48" s="103">
        <v>0</v>
      </c>
      <c r="N48" s="104">
        <v>0</v>
      </c>
      <c r="O48" s="286"/>
      <c r="P48" s="210">
        <v>1895.5</v>
      </c>
      <c r="Q48" s="208"/>
      <c r="R48" s="209">
        <v>0</v>
      </c>
      <c r="S48" s="293"/>
      <c r="T48" s="56">
        <f t="shared" si="8"/>
        <v>3151.5</v>
      </c>
      <c r="U48" s="47">
        <f t="shared" si="8"/>
        <v>0</v>
      </c>
      <c r="V48" s="85" t="e">
        <f>F48+#REF!+N48+R48</f>
        <v>#REF!</v>
      </c>
    </row>
    <row r="49" spans="2:22" hidden="1">
      <c r="B49" s="47">
        <v>4</v>
      </c>
      <c r="C49" s="48" t="s">
        <v>54</v>
      </c>
      <c r="D49" s="50">
        <v>0</v>
      </c>
      <c r="E49" s="82">
        <v>0</v>
      </c>
      <c r="F49" s="83">
        <v>0</v>
      </c>
      <c r="G49" s="286"/>
      <c r="H49" s="50"/>
      <c r="I49" s="82"/>
      <c r="J49" s="317"/>
      <c r="K49" s="84"/>
      <c r="L49" s="95"/>
      <c r="M49" s="103"/>
      <c r="N49" s="104"/>
      <c r="O49" s="286"/>
      <c r="P49" s="210"/>
      <c r="Q49" s="208"/>
      <c r="R49" s="209"/>
      <c r="S49" s="293"/>
      <c r="T49" s="56">
        <f t="shared" si="8"/>
        <v>0</v>
      </c>
      <c r="U49" s="47">
        <f t="shared" si="8"/>
        <v>0</v>
      </c>
      <c r="V49" s="85" t="e">
        <f>F49+#REF!+N49+R49</f>
        <v>#REF!</v>
      </c>
    </row>
    <row r="50" spans="2:22" hidden="1">
      <c r="B50" s="47">
        <v>5</v>
      </c>
      <c r="C50" s="48" t="s">
        <v>55</v>
      </c>
      <c r="D50" s="50">
        <v>5127.3999999999996</v>
      </c>
      <c r="E50" s="82">
        <v>23</v>
      </c>
      <c r="F50" s="83">
        <v>0</v>
      </c>
      <c r="G50" s="286"/>
      <c r="H50" s="50">
        <v>1578.9</v>
      </c>
      <c r="I50" s="82">
        <v>2</v>
      </c>
      <c r="J50" s="317"/>
      <c r="K50" s="84"/>
      <c r="L50" s="95">
        <v>2411.1</v>
      </c>
      <c r="M50" s="103">
        <v>27</v>
      </c>
      <c r="N50" s="104">
        <v>0</v>
      </c>
      <c r="O50" s="286"/>
      <c r="P50" s="210">
        <v>57490.7</v>
      </c>
      <c r="Q50" s="208">
        <v>35</v>
      </c>
      <c r="R50" s="209">
        <v>0</v>
      </c>
      <c r="S50" s="293"/>
      <c r="T50" s="56">
        <f t="shared" si="8"/>
        <v>66608.099999999991</v>
      </c>
      <c r="U50" s="47">
        <f t="shared" si="8"/>
        <v>87</v>
      </c>
      <c r="V50" s="85" t="e">
        <f>F50+#REF!+N50+R50</f>
        <v>#REF!</v>
      </c>
    </row>
    <row r="51" spans="2:22" hidden="1">
      <c r="B51" s="51"/>
      <c r="C51" s="48"/>
      <c r="D51" s="52"/>
      <c r="E51" s="47"/>
      <c r="F51" s="85"/>
      <c r="G51" s="287"/>
      <c r="H51" s="52"/>
      <c r="I51" s="47"/>
      <c r="J51" s="316"/>
      <c r="K51" s="287"/>
      <c r="L51" s="56"/>
      <c r="M51" s="101"/>
      <c r="N51" s="102"/>
      <c r="O51" s="285"/>
      <c r="P51" s="136"/>
      <c r="Q51" s="137"/>
      <c r="R51" s="138"/>
      <c r="S51" s="290"/>
      <c r="T51" s="52"/>
      <c r="U51" s="47"/>
      <c r="V51" s="85"/>
    </row>
    <row r="52" spans="2:22" hidden="1">
      <c r="B52" s="53" t="s">
        <v>56</v>
      </c>
      <c r="C52" s="54" t="s">
        <v>57</v>
      </c>
      <c r="D52" s="46">
        <f>SUM(D53:D64)</f>
        <v>521541.7</v>
      </c>
      <c r="E52" s="78">
        <f>SUM(E53:E64)</f>
        <v>108</v>
      </c>
      <c r="F52" s="79">
        <f>SUM(F53:F64)</f>
        <v>0</v>
      </c>
      <c r="G52" s="284"/>
      <c r="H52" s="46">
        <f t="shared" ref="H52:V52" si="9">SUM(H53:H64)</f>
        <v>132874</v>
      </c>
      <c r="I52" s="78">
        <f t="shared" si="9"/>
        <v>66</v>
      </c>
      <c r="J52" s="315"/>
      <c r="K52" s="80"/>
      <c r="L52" s="46">
        <f t="shared" si="9"/>
        <v>51384.5</v>
      </c>
      <c r="M52" s="46">
        <f t="shared" si="9"/>
        <v>36</v>
      </c>
      <c r="N52" s="46">
        <f t="shared" si="9"/>
        <v>0</v>
      </c>
      <c r="O52" s="46"/>
      <c r="P52" s="240">
        <f t="shared" si="9"/>
        <v>90928.999999999985</v>
      </c>
      <c r="Q52" s="241">
        <f t="shared" si="9"/>
        <v>410</v>
      </c>
      <c r="R52" s="242">
        <f t="shared" si="9"/>
        <v>0</v>
      </c>
      <c r="S52" s="122"/>
      <c r="T52" s="46">
        <f t="shared" si="9"/>
        <v>796729.20000000007</v>
      </c>
      <c r="U52" s="78">
        <f t="shared" si="9"/>
        <v>620</v>
      </c>
      <c r="V52" s="79" t="e">
        <f t="shared" si="9"/>
        <v>#REF!</v>
      </c>
    </row>
    <row r="53" spans="2:22" hidden="1">
      <c r="B53" s="47">
        <v>6</v>
      </c>
      <c r="C53" s="48" t="s">
        <v>58</v>
      </c>
      <c r="D53" s="50">
        <v>152910.79999999999</v>
      </c>
      <c r="E53" s="82">
        <v>70</v>
      </c>
      <c r="F53" s="83">
        <v>0</v>
      </c>
      <c r="G53" s="286"/>
      <c r="H53" s="50">
        <v>129599.6</v>
      </c>
      <c r="I53" s="82">
        <v>40</v>
      </c>
      <c r="J53" s="317"/>
      <c r="K53" s="84"/>
      <c r="L53" s="95">
        <v>18079.900000000001</v>
      </c>
      <c r="M53" s="103">
        <v>0</v>
      </c>
      <c r="N53" s="104">
        <v>0</v>
      </c>
      <c r="O53" s="286"/>
      <c r="P53" s="210">
        <v>54277.1</v>
      </c>
      <c r="Q53" s="208">
        <v>314</v>
      </c>
      <c r="R53" s="209"/>
      <c r="S53" s="293"/>
      <c r="T53" s="56">
        <f t="shared" ref="T53:T64" si="10">D53+H53+L53+P53</f>
        <v>354867.4</v>
      </c>
      <c r="U53" s="47">
        <f t="shared" ref="U53:U64" si="11">E53+I53+M53+Q53</f>
        <v>424</v>
      </c>
      <c r="V53" s="85" t="e">
        <f>F53+#REF!+N53+R53</f>
        <v>#REF!</v>
      </c>
    </row>
    <row r="54" spans="2:22" hidden="1">
      <c r="B54" s="47">
        <v>7</v>
      </c>
      <c r="C54" s="48" t="s">
        <v>59</v>
      </c>
      <c r="D54" s="50">
        <v>0</v>
      </c>
      <c r="E54" s="82">
        <v>0</v>
      </c>
      <c r="F54" s="83">
        <v>0</v>
      </c>
      <c r="G54" s="286"/>
      <c r="H54" s="50"/>
      <c r="I54" s="82"/>
      <c r="J54" s="317"/>
      <c r="K54" s="84"/>
      <c r="L54" s="95"/>
      <c r="M54" s="103"/>
      <c r="N54" s="104"/>
      <c r="O54" s="286"/>
      <c r="P54" s="210"/>
      <c r="Q54" s="208"/>
      <c r="R54" s="209"/>
      <c r="S54" s="293"/>
      <c r="T54" s="56">
        <f t="shared" si="10"/>
        <v>0</v>
      </c>
      <c r="U54" s="47">
        <f t="shared" si="11"/>
        <v>0</v>
      </c>
      <c r="V54" s="85" t="e">
        <f>F54+#REF!+N54+R54</f>
        <v>#REF!</v>
      </c>
    </row>
    <row r="55" spans="2:22" ht="28.5" hidden="1">
      <c r="B55" s="47">
        <v>8</v>
      </c>
      <c r="C55" s="48" t="s">
        <v>60</v>
      </c>
      <c r="D55" s="56">
        <v>102.8</v>
      </c>
      <c r="E55" s="47">
        <v>0</v>
      </c>
      <c r="F55" s="85">
        <v>0</v>
      </c>
      <c r="G55" s="286"/>
      <c r="H55" s="50">
        <v>171.9</v>
      </c>
      <c r="I55" s="82">
        <v>0</v>
      </c>
      <c r="J55" s="317"/>
      <c r="K55" s="84"/>
      <c r="L55" s="95"/>
      <c r="M55" s="103"/>
      <c r="N55" s="104"/>
      <c r="O55" s="286"/>
      <c r="P55" s="210">
        <v>800</v>
      </c>
      <c r="Q55" s="208">
        <v>0</v>
      </c>
      <c r="R55" s="209">
        <v>0</v>
      </c>
      <c r="S55" s="293"/>
      <c r="T55" s="56">
        <f t="shared" si="10"/>
        <v>1074.7</v>
      </c>
      <c r="U55" s="47">
        <f t="shared" si="11"/>
        <v>0</v>
      </c>
      <c r="V55" s="85" t="e">
        <f>F55+#REF!+N55+R55</f>
        <v>#REF!</v>
      </c>
    </row>
    <row r="56" spans="2:22" hidden="1">
      <c r="B56" s="47">
        <v>9</v>
      </c>
      <c r="C56" s="48" t="s">
        <v>61</v>
      </c>
      <c r="D56" s="56">
        <v>2343</v>
      </c>
      <c r="E56" s="47">
        <v>0</v>
      </c>
      <c r="F56" s="85">
        <v>0</v>
      </c>
      <c r="G56" s="286"/>
      <c r="H56" s="50">
        <v>537</v>
      </c>
      <c r="I56" s="82">
        <v>0</v>
      </c>
      <c r="J56" s="317"/>
      <c r="K56" s="84"/>
      <c r="L56" s="96">
        <v>1934.8</v>
      </c>
      <c r="M56" s="106">
        <v>5</v>
      </c>
      <c r="N56" s="107">
        <v>0</v>
      </c>
      <c r="O56" s="91"/>
      <c r="P56" s="210">
        <v>144.19999999999999</v>
      </c>
      <c r="Q56" s="208">
        <v>0</v>
      </c>
      <c r="R56" s="209">
        <v>0</v>
      </c>
      <c r="S56" s="293"/>
      <c r="T56" s="56">
        <f t="shared" si="10"/>
        <v>4959</v>
      </c>
      <c r="U56" s="47">
        <f t="shared" si="11"/>
        <v>5</v>
      </c>
      <c r="V56" s="85" t="e">
        <f>F56+#REF!+N56+R56</f>
        <v>#REF!</v>
      </c>
    </row>
    <row r="57" spans="2:22" hidden="1">
      <c r="B57" s="47">
        <v>10</v>
      </c>
      <c r="C57" s="48" t="s">
        <v>62</v>
      </c>
      <c r="D57" s="50">
        <v>0</v>
      </c>
      <c r="E57" s="82">
        <v>0</v>
      </c>
      <c r="F57" s="83">
        <v>0</v>
      </c>
      <c r="G57" s="286"/>
      <c r="H57" s="50"/>
      <c r="I57" s="82"/>
      <c r="J57" s="317"/>
      <c r="K57" s="84"/>
      <c r="L57" s="96">
        <v>0</v>
      </c>
      <c r="M57" s="108">
        <v>13</v>
      </c>
      <c r="N57" s="107">
        <v>0</v>
      </c>
      <c r="O57" s="91"/>
      <c r="P57" s="210">
        <v>0</v>
      </c>
      <c r="Q57" s="208">
        <v>0</v>
      </c>
      <c r="R57" s="209">
        <v>0</v>
      </c>
      <c r="S57" s="293"/>
      <c r="T57" s="56">
        <f t="shared" si="10"/>
        <v>0</v>
      </c>
      <c r="U57" s="47">
        <f t="shared" si="11"/>
        <v>13</v>
      </c>
      <c r="V57" s="85" t="e">
        <f>F57+#REF!+N57+R57</f>
        <v>#REF!</v>
      </c>
    </row>
    <row r="58" spans="2:22" hidden="1">
      <c r="B58" s="47">
        <v>11</v>
      </c>
      <c r="C58" s="48" t="s">
        <v>63</v>
      </c>
      <c r="D58" s="50">
        <v>6046</v>
      </c>
      <c r="E58" s="82">
        <v>31</v>
      </c>
      <c r="F58" s="83">
        <v>0</v>
      </c>
      <c r="G58" s="286"/>
      <c r="H58" s="50">
        <v>95</v>
      </c>
      <c r="I58" s="82">
        <v>0</v>
      </c>
      <c r="J58" s="317"/>
      <c r="K58" s="84"/>
      <c r="L58" s="96">
        <v>95</v>
      </c>
      <c r="M58" s="106">
        <v>0</v>
      </c>
      <c r="N58" s="107">
        <v>0</v>
      </c>
      <c r="O58" s="91"/>
      <c r="P58" s="210">
        <v>9024.1</v>
      </c>
      <c r="Q58" s="208">
        <v>17</v>
      </c>
      <c r="R58" s="209">
        <v>0</v>
      </c>
      <c r="S58" s="293"/>
      <c r="T58" s="56">
        <f t="shared" si="10"/>
        <v>15260.1</v>
      </c>
      <c r="U58" s="47">
        <f t="shared" si="11"/>
        <v>48</v>
      </c>
      <c r="V58" s="85" t="e">
        <f>F58+#REF!+N58+R58</f>
        <v>#REF!</v>
      </c>
    </row>
    <row r="59" spans="2:22" hidden="1">
      <c r="B59" s="47">
        <v>12</v>
      </c>
      <c r="C59" s="48" t="s">
        <v>64</v>
      </c>
      <c r="D59" s="50">
        <v>339169.7</v>
      </c>
      <c r="E59" s="82">
        <v>5</v>
      </c>
      <c r="F59" s="83">
        <v>0</v>
      </c>
      <c r="G59" s="286"/>
      <c r="H59" s="50">
        <v>174.3</v>
      </c>
      <c r="I59" s="82">
        <v>0</v>
      </c>
      <c r="J59" s="317"/>
      <c r="K59" s="84"/>
      <c r="L59" s="96">
        <v>2586.6999999999998</v>
      </c>
      <c r="M59" s="106">
        <v>3</v>
      </c>
      <c r="N59" s="107">
        <v>0</v>
      </c>
      <c r="O59" s="91"/>
      <c r="P59" s="210">
        <v>13411.4</v>
      </c>
      <c r="Q59" s="208">
        <v>2</v>
      </c>
      <c r="R59" s="209">
        <v>0</v>
      </c>
      <c r="S59" s="293"/>
      <c r="T59" s="56">
        <f t="shared" si="10"/>
        <v>355342.10000000003</v>
      </c>
      <c r="U59" s="47">
        <f t="shared" si="11"/>
        <v>10</v>
      </c>
      <c r="V59" s="85" t="e">
        <f>F59+#REF!+N59+R59</f>
        <v>#REF!</v>
      </c>
    </row>
    <row r="60" spans="2:22" hidden="1">
      <c r="B60" s="47">
        <v>13</v>
      </c>
      <c r="C60" s="48" t="s">
        <v>65</v>
      </c>
      <c r="D60" s="50">
        <v>20349</v>
      </c>
      <c r="E60" s="82">
        <v>2</v>
      </c>
      <c r="F60" s="83">
        <v>0</v>
      </c>
      <c r="G60" s="286"/>
      <c r="H60" s="50">
        <v>1996.2</v>
      </c>
      <c r="I60" s="82">
        <v>21</v>
      </c>
      <c r="J60" s="317"/>
      <c r="K60" s="84"/>
      <c r="L60" s="96">
        <v>28618</v>
      </c>
      <c r="M60" s="106">
        <v>14</v>
      </c>
      <c r="N60" s="107">
        <v>0</v>
      </c>
      <c r="O60" s="91"/>
      <c r="P60" s="210">
        <v>420.9</v>
      </c>
      <c r="Q60" s="208">
        <v>6</v>
      </c>
      <c r="R60" s="209"/>
      <c r="S60" s="293"/>
      <c r="T60" s="56">
        <f t="shared" si="10"/>
        <v>51384.1</v>
      </c>
      <c r="U60" s="47">
        <f t="shared" si="11"/>
        <v>43</v>
      </c>
      <c r="V60" s="85" t="e">
        <f>F60+#REF!+N60+R60</f>
        <v>#REF!</v>
      </c>
    </row>
    <row r="61" spans="2:22" ht="28.5" hidden="1">
      <c r="B61" s="47">
        <v>14</v>
      </c>
      <c r="C61" s="48" t="s">
        <v>67</v>
      </c>
      <c r="D61" s="56">
        <v>620.4</v>
      </c>
      <c r="E61" s="47">
        <v>0</v>
      </c>
      <c r="F61" s="85">
        <v>0</v>
      </c>
      <c r="G61" s="286"/>
      <c r="H61" s="50"/>
      <c r="I61" s="82"/>
      <c r="J61" s="317"/>
      <c r="K61" s="84"/>
      <c r="L61" s="97"/>
      <c r="M61" s="106"/>
      <c r="N61" s="107"/>
      <c r="O61" s="91"/>
      <c r="P61" s="210">
        <v>2919</v>
      </c>
      <c r="Q61" s="208">
        <v>30</v>
      </c>
      <c r="R61" s="209">
        <v>0</v>
      </c>
      <c r="S61" s="293"/>
      <c r="T61" s="56">
        <f t="shared" si="10"/>
        <v>3539.4</v>
      </c>
      <c r="U61" s="47">
        <f t="shared" si="11"/>
        <v>30</v>
      </c>
      <c r="V61" s="85" t="e">
        <f>F61+#REF!+N61+R61</f>
        <v>#REF!</v>
      </c>
    </row>
    <row r="62" spans="2:22" ht="28.5" hidden="1">
      <c r="B62" s="47">
        <v>15</v>
      </c>
      <c r="C62" s="48" t="s">
        <v>68</v>
      </c>
      <c r="D62" s="56">
        <v>0</v>
      </c>
      <c r="E62" s="47">
        <v>0</v>
      </c>
      <c r="F62" s="85">
        <v>0</v>
      </c>
      <c r="G62" s="286"/>
      <c r="H62" s="50"/>
      <c r="I62" s="82"/>
      <c r="J62" s="317"/>
      <c r="K62" s="84"/>
      <c r="L62" s="97"/>
      <c r="M62" s="106"/>
      <c r="N62" s="107"/>
      <c r="O62" s="91"/>
      <c r="P62" s="210">
        <v>9932.2999999999993</v>
      </c>
      <c r="Q62" s="208">
        <v>37</v>
      </c>
      <c r="R62" s="209">
        <v>0</v>
      </c>
      <c r="S62" s="293"/>
      <c r="T62" s="56">
        <f t="shared" si="10"/>
        <v>9932.2999999999993</v>
      </c>
      <c r="U62" s="47">
        <f t="shared" si="11"/>
        <v>37</v>
      </c>
      <c r="V62" s="85" t="e">
        <f>F62+#REF!+N62+R62</f>
        <v>#REF!</v>
      </c>
    </row>
    <row r="63" spans="2:22" ht="28.5" hidden="1">
      <c r="B63" s="47">
        <v>16</v>
      </c>
      <c r="C63" s="48" t="s">
        <v>69</v>
      </c>
      <c r="D63" s="50">
        <v>0</v>
      </c>
      <c r="E63" s="82">
        <v>0</v>
      </c>
      <c r="F63" s="83">
        <v>0</v>
      </c>
      <c r="G63" s="286"/>
      <c r="H63" s="50"/>
      <c r="I63" s="82"/>
      <c r="J63" s="317"/>
      <c r="K63" s="84"/>
      <c r="L63" s="97"/>
      <c r="M63" s="106"/>
      <c r="N63" s="107"/>
      <c r="O63" s="91"/>
      <c r="P63" s="210"/>
      <c r="Q63" s="208"/>
      <c r="R63" s="209"/>
      <c r="S63" s="293"/>
      <c r="T63" s="56">
        <f t="shared" si="10"/>
        <v>0</v>
      </c>
      <c r="U63" s="47">
        <f t="shared" si="11"/>
        <v>0</v>
      </c>
      <c r="V63" s="85" t="e">
        <f>F63+#REF!+N63+R63</f>
        <v>#REF!</v>
      </c>
    </row>
    <row r="64" spans="2:22" hidden="1">
      <c r="B64" s="47">
        <v>17</v>
      </c>
      <c r="C64" s="48" t="s">
        <v>70</v>
      </c>
      <c r="D64" s="50">
        <v>0</v>
      </c>
      <c r="E64" s="82">
        <v>0</v>
      </c>
      <c r="F64" s="83">
        <v>0</v>
      </c>
      <c r="G64" s="285"/>
      <c r="H64" s="56">
        <v>300</v>
      </c>
      <c r="I64" s="47">
        <v>5</v>
      </c>
      <c r="J64" s="316"/>
      <c r="K64" s="287"/>
      <c r="L64" s="147">
        <v>70.099999999999994</v>
      </c>
      <c r="M64" s="151">
        <v>1</v>
      </c>
      <c r="N64" s="152">
        <v>0</v>
      </c>
      <c r="O64" s="131"/>
      <c r="P64" s="136">
        <v>0</v>
      </c>
      <c r="Q64" s="137">
        <v>4</v>
      </c>
      <c r="R64" s="138">
        <v>0</v>
      </c>
      <c r="S64" s="290"/>
      <c r="T64" s="56">
        <f t="shared" si="10"/>
        <v>370.1</v>
      </c>
      <c r="U64" s="47">
        <f t="shared" si="11"/>
        <v>10</v>
      </c>
      <c r="V64" s="85" t="e">
        <f>F64+#REF!+N64+R64</f>
        <v>#REF!</v>
      </c>
    </row>
    <row r="65" spans="2:22" hidden="1">
      <c r="B65" s="51"/>
      <c r="C65" s="48"/>
      <c r="D65" s="52"/>
      <c r="E65" s="47"/>
      <c r="F65" s="85"/>
      <c r="G65" s="287"/>
      <c r="H65" s="52"/>
      <c r="I65" s="47"/>
      <c r="J65" s="316"/>
      <c r="K65" s="287"/>
      <c r="L65" s="148"/>
      <c r="M65" s="153"/>
      <c r="N65" s="152"/>
      <c r="O65" s="131"/>
      <c r="P65" s="136"/>
      <c r="Q65" s="137"/>
      <c r="R65" s="138"/>
      <c r="S65" s="290"/>
      <c r="T65" s="52"/>
      <c r="U65" s="47"/>
      <c r="V65" s="85"/>
    </row>
    <row r="66" spans="2:22" hidden="1">
      <c r="B66" s="53" t="s">
        <v>71</v>
      </c>
      <c r="C66" s="54" t="s">
        <v>72</v>
      </c>
      <c r="D66" s="46">
        <f>SUM(D67:D73)</f>
        <v>865051.2</v>
      </c>
      <c r="E66" s="78">
        <f>SUM(E67:E73)</f>
        <v>2126</v>
      </c>
      <c r="F66" s="79">
        <f>SUM(F67:F73)</f>
        <v>0</v>
      </c>
      <c r="G66" s="284"/>
      <c r="H66" s="46">
        <f t="shared" ref="H66:V66" si="12">SUM(H67:H73)</f>
        <v>747467.1</v>
      </c>
      <c r="I66" s="78">
        <f t="shared" si="12"/>
        <v>309</v>
      </c>
      <c r="J66" s="315"/>
      <c r="K66" s="80"/>
      <c r="L66" s="149">
        <f t="shared" si="12"/>
        <v>711965.89999999991</v>
      </c>
      <c r="M66" s="149">
        <f t="shared" si="12"/>
        <v>776</v>
      </c>
      <c r="N66" s="149">
        <f t="shared" si="12"/>
        <v>0</v>
      </c>
      <c r="O66" s="149"/>
      <c r="P66" s="240">
        <f t="shared" si="12"/>
        <v>428099.90000000008</v>
      </c>
      <c r="Q66" s="241">
        <f t="shared" si="12"/>
        <v>622</v>
      </c>
      <c r="R66" s="242">
        <f t="shared" si="12"/>
        <v>0</v>
      </c>
      <c r="S66" s="122"/>
      <c r="T66" s="46">
        <f t="shared" si="12"/>
        <v>2752584.0999999996</v>
      </c>
      <c r="U66" s="78">
        <f t="shared" si="12"/>
        <v>3833</v>
      </c>
      <c r="V66" s="79" t="e">
        <f t="shared" si="12"/>
        <v>#REF!</v>
      </c>
    </row>
    <row r="67" spans="2:22" hidden="1">
      <c r="B67" s="47">
        <v>18</v>
      </c>
      <c r="C67" s="48" t="s">
        <v>73</v>
      </c>
      <c r="D67" s="56">
        <v>154967.1</v>
      </c>
      <c r="E67" s="47">
        <v>648</v>
      </c>
      <c r="F67" s="85">
        <v>0</v>
      </c>
      <c r="G67" s="285"/>
      <c r="H67" s="56">
        <v>181507.8</v>
      </c>
      <c r="I67" s="133">
        <v>54</v>
      </c>
      <c r="J67" s="318"/>
      <c r="K67" s="135"/>
      <c r="L67" s="147">
        <v>137850.79999999999</v>
      </c>
      <c r="M67" s="151">
        <v>199</v>
      </c>
      <c r="N67" s="152">
        <v>0</v>
      </c>
      <c r="O67" s="131"/>
      <c r="P67" s="136">
        <v>144088</v>
      </c>
      <c r="Q67" s="137">
        <v>7</v>
      </c>
      <c r="R67" s="138">
        <v>0</v>
      </c>
      <c r="S67" s="290"/>
      <c r="T67" s="56">
        <f t="shared" ref="T67:U73" si="13">D67+H67+L67+P67</f>
        <v>618413.69999999995</v>
      </c>
      <c r="U67" s="47">
        <f t="shared" si="13"/>
        <v>908</v>
      </c>
      <c r="V67" s="85" t="e">
        <f>F67+#REF!+N67+R67</f>
        <v>#REF!</v>
      </c>
    </row>
    <row r="68" spans="2:22" hidden="1">
      <c r="B68" s="47">
        <v>19</v>
      </c>
      <c r="C68" s="48" t="s">
        <v>74</v>
      </c>
      <c r="D68" s="56">
        <v>506051.4</v>
      </c>
      <c r="E68" s="47">
        <v>26</v>
      </c>
      <c r="F68" s="85">
        <v>0</v>
      </c>
      <c r="G68" s="285"/>
      <c r="H68" s="56">
        <v>178807.8</v>
      </c>
      <c r="I68" s="133">
        <v>24</v>
      </c>
      <c r="J68" s="318"/>
      <c r="K68" s="135"/>
      <c r="L68" s="147">
        <v>247486.8</v>
      </c>
      <c r="M68" s="151">
        <v>84</v>
      </c>
      <c r="N68" s="152">
        <v>0</v>
      </c>
      <c r="O68" s="131"/>
      <c r="P68" s="136">
        <v>116017.3</v>
      </c>
      <c r="Q68" s="137">
        <v>205</v>
      </c>
      <c r="R68" s="138">
        <v>0</v>
      </c>
      <c r="S68" s="290"/>
      <c r="T68" s="56">
        <f t="shared" si="13"/>
        <v>1048363.3</v>
      </c>
      <c r="U68" s="47">
        <f t="shared" si="13"/>
        <v>339</v>
      </c>
      <c r="V68" s="85" t="e">
        <f>F68+#REF!+N68+R68</f>
        <v>#REF!</v>
      </c>
    </row>
    <row r="69" spans="2:22" hidden="1">
      <c r="B69" s="47">
        <v>20</v>
      </c>
      <c r="C69" s="48" t="s">
        <v>75</v>
      </c>
      <c r="D69" s="56">
        <v>19818.7</v>
      </c>
      <c r="E69" s="47">
        <v>391</v>
      </c>
      <c r="F69" s="85">
        <v>0</v>
      </c>
      <c r="G69" s="285"/>
      <c r="H69" s="56">
        <v>15358.1</v>
      </c>
      <c r="I69" s="133">
        <v>113</v>
      </c>
      <c r="J69" s="318"/>
      <c r="K69" s="135"/>
      <c r="L69" s="147">
        <v>19445.099999999999</v>
      </c>
      <c r="M69" s="151">
        <v>317</v>
      </c>
      <c r="N69" s="152">
        <v>0</v>
      </c>
      <c r="O69" s="131"/>
      <c r="P69" s="136">
        <v>22923.200000000001</v>
      </c>
      <c r="Q69" s="137">
        <v>296</v>
      </c>
      <c r="R69" s="138"/>
      <c r="S69" s="290"/>
      <c r="T69" s="56">
        <f t="shared" si="13"/>
        <v>77545.100000000006</v>
      </c>
      <c r="U69" s="47">
        <f t="shared" si="13"/>
        <v>1117</v>
      </c>
      <c r="V69" s="85" t="e">
        <f>F69+#REF!+N69+R69</f>
        <v>#REF!</v>
      </c>
    </row>
    <row r="70" spans="2:22" hidden="1">
      <c r="B70" s="47">
        <v>21</v>
      </c>
      <c r="C70" s="48" t="s">
        <v>76</v>
      </c>
      <c r="D70" s="56">
        <v>139026.6</v>
      </c>
      <c r="E70" s="47">
        <v>192</v>
      </c>
      <c r="F70" s="85">
        <v>0</v>
      </c>
      <c r="G70" s="285"/>
      <c r="H70" s="56">
        <v>16385.7</v>
      </c>
      <c r="I70" s="133">
        <v>34</v>
      </c>
      <c r="J70" s="318"/>
      <c r="K70" s="135"/>
      <c r="L70" s="147">
        <v>43610.2</v>
      </c>
      <c r="M70" s="151">
        <v>65</v>
      </c>
      <c r="N70" s="152">
        <v>0</v>
      </c>
      <c r="O70" s="131"/>
      <c r="P70" s="136">
        <v>54786.7</v>
      </c>
      <c r="Q70" s="137">
        <v>59</v>
      </c>
      <c r="R70" s="138"/>
      <c r="S70" s="290"/>
      <c r="T70" s="56">
        <f t="shared" si="13"/>
        <v>253809.2</v>
      </c>
      <c r="U70" s="47">
        <f t="shared" si="13"/>
        <v>350</v>
      </c>
      <c r="V70" s="85" t="e">
        <f>F70+#REF!+N70+R70</f>
        <v>#REF!</v>
      </c>
    </row>
    <row r="71" spans="2:22" ht="28.5" hidden="1">
      <c r="B71" s="47">
        <v>22</v>
      </c>
      <c r="C71" s="48" t="s">
        <v>77</v>
      </c>
      <c r="D71" s="56">
        <v>1200.4000000000001</v>
      </c>
      <c r="E71" s="47">
        <v>23</v>
      </c>
      <c r="F71" s="85">
        <v>0</v>
      </c>
      <c r="G71" s="285"/>
      <c r="H71" s="56">
        <v>323638.2</v>
      </c>
      <c r="I71" s="133">
        <v>6</v>
      </c>
      <c r="J71" s="318"/>
      <c r="K71" s="135"/>
      <c r="L71" s="147">
        <v>463.3</v>
      </c>
      <c r="M71" s="151">
        <v>30</v>
      </c>
      <c r="N71" s="152">
        <v>0</v>
      </c>
      <c r="O71" s="131"/>
      <c r="P71" s="136">
        <v>72051.100000000006</v>
      </c>
      <c r="Q71" s="137">
        <v>28</v>
      </c>
      <c r="R71" s="138">
        <v>0</v>
      </c>
      <c r="S71" s="290"/>
      <c r="T71" s="56">
        <f t="shared" si="13"/>
        <v>397353</v>
      </c>
      <c r="U71" s="47">
        <f t="shared" si="13"/>
        <v>87</v>
      </c>
      <c r="V71" s="85" t="e">
        <f>F71+#REF!+N71+R71</f>
        <v>#REF!</v>
      </c>
    </row>
    <row r="72" spans="2:22" ht="28.5" hidden="1">
      <c r="B72" s="47">
        <v>23</v>
      </c>
      <c r="C72" s="48" t="s">
        <v>78</v>
      </c>
      <c r="D72" s="56">
        <v>33629.5</v>
      </c>
      <c r="E72" s="47">
        <v>53</v>
      </c>
      <c r="F72" s="85">
        <v>0</v>
      </c>
      <c r="G72" s="290"/>
      <c r="H72" s="136">
        <v>16599.7</v>
      </c>
      <c r="I72" s="137">
        <v>10</v>
      </c>
      <c r="J72" s="300"/>
      <c r="K72" s="290"/>
      <c r="L72" s="147">
        <v>5966.9</v>
      </c>
      <c r="M72" s="151">
        <v>18</v>
      </c>
      <c r="N72" s="152">
        <v>0</v>
      </c>
      <c r="O72" s="131"/>
      <c r="P72" s="136">
        <v>17893.7</v>
      </c>
      <c r="Q72" s="137">
        <v>23</v>
      </c>
      <c r="R72" s="138">
        <v>0</v>
      </c>
      <c r="S72" s="290"/>
      <c r="T72" s="56">
        <f t="shared" si="13"/>
        <v>74089.8</v>
      </c>
      <c r="U72" s="47">
        <f t="shared" si="13"/>
        <v>104</v>
      </c>
      <c r="V72" s="85" t="e">
        <f>F72+#REF!+N72+R72</f>
        <v>#REF!</v>
      </c>
    </row>
    <row r="73" spans="2:22" hidden="1">
      <c r="B73" s="47">
        <v>24</v>
      </c>
      <c r="C73" s="48" t="s">
        <v>79</v>
      </c>
      <c r="D73" s="56">
        <v>10357.5</v>
      </c>
      <c r="E73" s="47">
        <v>793</v>
      </c>
      <c r="F73" s="85">
        <v>0</v>
      </c>
      <c r="G73" s="285"/>
      <c r="H73" s="56">
        <v>15169.8</v>
      </c>
      <c r="I73" s="133">
        <v>68</v>
      </c>
      <c r="J73" s="318"/>
      <c r="K73" s="135"/>
      <c r="L73" s="147">
        <v>257142.8</v>
      </c>
      <c r="M73" s="151">
        <v>63</v>
      </c>
      <c r="N73" s="152">
        <v>0</v>
      </c>
      <c r="O73" s="131"/>
      <c r="P73" s="136">
        <v>339.9</v>
      </c>
      <c r="Q73" s="137">
        <v>4</v>
      </c>
      <c r="R73" s="138">
        <v>0</v>
      </c>
      <c r="S73" s="290"/>
      <c r="T73" s="56">
        <f t="shared" si="13"/>
        <v>283010</v>
      </c>
      <c r="U73" s="47">
        <f t="shared" si="13"/>
        <v>928</v>
      </c>
      <c r="V73" s="85" t="e">
        <f>F73+#REF!+N73+R73</f>
        <v>#REF!</v>
      </c>
    </row>
    <row r="74" spans="2:22" hidden="1">
      <c r="B74" s="51"/>
      <c r="C74" s="125"/>
      <c r="D74" s="52"/>
      <c r="E74" s="51"/>
      <c r="F74" s="139"/>
      <c r="G74" s="287"/>
      <c r="H74" s="52"/>
      <c r="I74" s="51"/>
      <c r="J74" s="319"/>
      <c r="K74" s="140"/>
      <c r="L74" s="56"/>
      <c r="M74" s="154"/>
      <c r="N74" s="155"/>
      <c r="O74" s="156"/>
      <c r="P74" s="136"/>
      <c r="Q74" s="214"/>
      <c r="R74" s="215"/>
      <c r="S74" s="157"/>
      <c r="T74" s="52"/>
      <c r="U74" s="51"/>
      <c r="V74" s="139"/>
    </row>
    <row r="75" spans="2:22" hidden="1">
      <c r="B75" s="346" t="s">
        <v>80</v>
      </c>
      <c r="C75" s="347"/>
      <c r="D75" s="128">
        <f>D66+D52+D46</f>
        <v>1418070.4</v>
      </c>
      <c r="E75" s="141">
        <f>E66+E52+E46</f>
        <v>2295</v>
      </c>
      <c r="F75" s="142">
        <f>F66+F52+F46</f>
        <v>0</v>
      </c>
      <c r="G75" s="291"/>
      <c r="H75" s="128">
        <f t="shared" ref="H75:V75" si="14">H66+H52+H46</f>
        <v>1223476.5</v>
      </c>
      <c r="I75" s="144">
        <f t="shared" si="14"/>
        <v>444</v>
      </c>
      <c r="J75" s="320"/>
      <c r="K75" s="143"/>
      <c r="L75" s="128">
        <f t="shared" si="14"/>
        <v>868731.99999999988</v>
      </c>
      <c r="M75" s="128">
        <f t="shared" ref="M75:P75" si="15">M66+M52+M46</f>
        <v>945</v>
      </c>
      <c r="N75" s="128">
        <f t="shared" si="15"/>
        <v>0</v>
      </c>
      <c r="O75" s="128"/>
      <c r="P75" s="216">
        <f t="shared" si="15"/>
        <v>673435</v>
      </c>
      <c r="Q75" s="217">
        <f t="shared" si="14"/>
        <v>1274</v>
      </c>
      <c r="R75" s="218">
        <f t="shared" si="14"/>
        <v>0</v>
      </c>
      <c r="S75" s="159"/>
      <c r="T75" s="128">
        <f t="shared" si="14"/>
        <v>4183713.9</v>
      </c>
      <c r="U75" s="160">
        <f t="shared" si="14"/>
        <v>4958</v>
      </c>
      <c r="V75" s="142" t="e">
        <f t="shared" si="14"/>
        <v>#REF!</v>
      </c>
    </row>
    <row r="76" spans="2:22" hidden="1">
      <c r="L76" s="150">
        <v>868732</v>
      </c>
      <c r="P76" s="219">
        <v>673435</v>
      </c>
    </row>
    <row r="77" spans="2:22" hidden="1"/>
    <row r="78" spans="2:22" hidden="1"/>
    <row r="79" spans="2:22" hidden="1"/>
    <row r="80" spans="2:22" hidden="1">
      <c r="T80" s="162"/>
    </row>
    <row r="81" spans="3:20">
      <c r="T81" s="163"/>
    </row>
    <row r="82" spans="3:20">
      <c r="C82" s="129"/>
    </row>
    <row r="83" spans="3:20">
      <c r="T83" s="221"/>
    </row>
    <row r="84" spans="3:20">
      <c r="C84" s="6"/>
    </row>
  </sheetData>
  <mergeCells count="41">
    <mergeCell ref="B7:X7"/>
    <mergeCell ref="B8:X8"/>
    <mergeCell ref="B9:X9"/>
    <mergeCell ref="B10:X10"/>
    <mergeCell ref="D12:F12"/>
    <mergeCell ref="H12:J12"/>
    <mergeCell ref="L12:N12"/>
    <mergeCell ref="P12:R12"/>
    <mergeCell ref="T12:V12"/>
    <mergeCell ref="T40:U40"/>
    <mergeCell ref="D42:F42"/>
    <mergeCell ref="H42:J42"/>
    <mergeCell ref="L42:N42"/>
    <mergeCell ref="P42:R42"/>
    <mergeCell ref="T42:V42"/>
    <mergeCell ref="E43:F43"/>
    <mergeCell ref="I43:J43"/>
    <mergeCell ref="M43:N43"/>
    <mergeCell ref="Q43:R43"/>
    <mergeCell ref="U43:V43"/>
    <mergeCell ref="B75:C75"/>
    <mergeCell ref="B12:B14"/>
    <mergeCell ref="B42:B44"/>
    <mergeCell ref="C12:C14"/>
    <mergeCell ref="C42:C44"/>
    <mergeCell ref="B39:C39"/>
    <mergeCell ref="W13:W14"/>
    <mergeCell ref="O12:O14"/>
    <mergeCell ref="S12:S14"/>
    <mergeCell ref="K12:K14"/>
    <mergeCell ref="D13:D14"/>
    <mergeCell ref="G12:G14"/>
    <mergeCell ref="H13:H14"/>
    <mergeCell ref="L13:L14"/>
    <mergeCell ref="P13:P14"/>
    <mergeCell ref="E13:F13"/>
    <mergeCell ref="I13:J13"/>
    <mergeCell ref="M13:N13"/>
    <mergeCell ref="Q13:R13"/>
    <mergeCell ref="U13:V13"/>
    <mergeCell ref="T13:T14"/>
  </mergeCells>
  <printOptions horizontalCentered="1"/>
  <pageMargins left="1.1043307090000001" right="0.35433070866141703" top="0.98425196850393704" bottom="0.98425196850393704" header="0.511811023622047" footer="0.511811023622047"/>
  <pageSetup paperSize="9" scale="6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2050" r:id="rId4">
          <objectPr defaultSize="0" autoPict="0" altText="" r:id="rId5">
            <anchor moveWithCells="1" sizeWithCells="1">
              <from>
                <xdr:col>7</xdr:col>
                <xdr:colOff>962025</xdr:colOff>
                <xdr:row>0</xdr:row>
                <xdr:rowOff>114300</xdr:rowOff>
              </from>
              <to>
                <xdr:col>10</xdr:col>
                <xdr:colOff>0</xdr:colOff>
                <xdr:row>6</xdr:row>
                <xdr:rowOff>9525</xdr:rowOff>
              </to>
            </anchor>
          </objectPr>
        </oleObject>
      </mc:Choice>
      <mc:Fallback>
        <oleObject progId="PBrush" shapeId="2050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7:AG50"/>
  <sheetViews>
    <sheetView view="pageBreakPreview" zoomScale="90" zoomScaleNormal="100" workbookViewId="0">
      <selection activeCell="G13" sqref="G13:G14"/>
    </sheetView>
  </sheetViews>
  <sheetFormatPr defaultColWidth="9.140625" defaultRowHeight="15"/>
  <cols>
    <col min="1" max="1" width="0.140625" customWidth="1"/>
    <col min="2" max="2" width="5.85546875" customWidth="1"/>
    <col min="3" max="3" width="33.42578125" customWidth="1"/>
    <col min="4" max="4" width="21.42578125" customWidth="1"/>
    <col min="5" max="5" width="11.85546875" customWidth="1"/>
    <col min="6" max="6" width="7.42578125" customWidth="1"/>
    <col min="7" max="7" width="9.140625" customWidth="1"/>
    <col min="8" max="8" width="19.7109375" customWidth="1"/>
    <col min="9" max="9" width="12.5703125" customWidth="1"/>
    <col min="10" max="11" width="8.42578125" customWidth="1"/>
    <col min="12" max="12" width="19.7109375" customWidth="1"/>
    <col min="13" max="13" width="10.7109375" customWidth="1"/>
    <col min="14" max="15" width="10.140625" customWidth="1"/>
    <col min="16" max="16" width="13.85546875" customWidth="1"/>
    <col min="17" max="17" width="11.85546875" customWidth="1"/>
    <col min="18" max="19" width="11.140625" customWidth="1"/>
    <col min="20" max="20" width="20" customWidth="1"/>
    <col min="21" max="22" width="12.28515625" customWidth="1"/>
    <col min="23" max="25" width="8.85546875" customWidth="1"/>
    <col min="26" max="26" width="9.140625" customWidth="1"/>
    <col min="33" max="33" width="14.28515625" customWidth="1"/>
  </cols>
  <sheetData>
    <row r="7" spans="2:26" ht="18">
      <c r="B7" s="354" t="s">
        <v>33</v>
      </c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4"/>
      <c r="X7" s="5"/>
      <c r="Y7" s="5"/>
      <c r="Z7" s="109"/>
    </row>
    <row r="8" spans="2:26" ht="18">
      <c r="B8" s="354" t="s">
        <v>34</v>
      </c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354"/>
      <c r="X8" s="5"/>
      <c r="Y8" s="5"/>
      <c r="Z8" s="109"/>
    </row>
    <row r="9" spans="2:26" ht="15" customHeight="1">
      <c r="B9" s="354" t="s">
        <v>113</v>
      </c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5"/>
      <c r="Y9" s="5"/>
      <c r="Z9" s="109"/>
    </row>
    <row r="10" spans="2:26" ht="15" customHeight="1">
      <c r="B10" s="354" t="s">
        <v>36</v>
      </c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  <c r="V10" s="354"/>
      <c r="W10" s="354"/>
      <c r="X10" s="5"/>
      <c r="Y10" s="5"/>
      <c r="Z10" s="109"/>
    </row>
    <row r="12" spans="2:26">
      <c r="B12" s="355" t="s">
        <v>82</v>
      </c>
      <c r="C12" s="355" t="s">
        <v>83</v>
      </c>
      <c r="D12" s="355" t="s">
        <v>39</v>
      </c>
      <c r="E12" s="355"/>
      <c r="F12" s="356"/>
      <c r="G12" s="281"/>
      <c r="H12" s="357" t="s">
        <v>40</v>
      </c>
      <c r="I12" s="355"/>
      <c r="J12" s="358"/>
      <c r="K12" s="281"/>
      <c r="L12" s="359" t="s">
        <v>41</v>
      </c>
      <c r="M12" s="355"/>
      <c r="N12" s="356"/>
      <c r="O12" s="281"/>
      <c r="P12" s="357" t="s">
        <v>42</v>
      </c>
      <c r="Q12" s="355"/>
      <c r="R12" s="358"/>
      <c r="S12" s="281"/>
      <c r="T12" s="359" t="s">
        <v>43</v>
      </c>
      <c r="U12" s="355"/>
      <c r="V12" s="355"/>
      <c r="W12" s="355"/>
      <c r="X12" s="115"/>
      <c r="Y12" s="115"/>
    </row>
    <row r="13" spans="2:26" ht="23.1" customHeight="1">
      <c r="B13" s="355"/>
      <c r="C13" s="355"/>
      <c r="D13" s="361" t="s">
        <v>114</v>
      </c>
      <c r="E13" s="355" t="s">
        <v>45</v>
      </c>
      <c r="F13" s="356"/>
      <c r="G13" s="350" t="s">
        <v>46</v>
      </c>
      <c r="H13" s="361" t="s">
        <v>114</v>
      </c>
      <c r="I13" s="355" t="s">
        <v>45</v>
      </c>
      <c r="J13" s="358"/>
      <c r="K13" s="350" t="s">
        <v>46</v>
      </c>
      <c r="L13" s="361" t="s">
        <v>114</v>
      </c>
      <c r="M13" s="355" t="s">
        <v>45</v>
      </c>
      <c r="N13" s="356"/>
      <c r="O13" s="350" t="s">
        <v>46</v>
      </c>
      <c r="P13" s="361" t="s">
        <v>115</v>
      </c>
      <c r="Q13" s="355" t="s">
        <v>45</v>
      </c>
      <c r="R13" s="358"/>
      <c r="S13" s="350" t="s">
        <v>46</v>
      </c>
      <c r="T13" s="361" t="s">
        <v>114</v>
      </c>
      <c r="U13" s="356" t="s">
        <v>45</v>
      </c>
      <c r="V13" s="364"/>
      <c r="W13" s="350" t="s">
        <v>46</v>
      </c>
      <c r="X13" s="115"/>
      <c r="Y13" s="115"/>
    </row>
    <row r="14" spans="2:26" ht="42" customHeight="1">
      <c r="B14" s="355"/>
      <c r="C14" s="355"/>
      <c r="D14" s="361"/>
      <c r="E14" s="248" t="s">
        <v>48</v>
      </c>
      <c r="F14" s="261" t="s">
        <v>49</v>
      </c>
      <c r="G14" s="351"/>
      <c r="H14" s="361"/>
      <c r="I14" s="248" t="s">
        <v>85</v>
      </c>
      <c r="J14" s="274" t="s">
        <v>49</v>
      </c>
      <c r="K14" s="351"/>
      <c r="L14" s="361"/>
      <c r="M14" s="248" t="s">
        <v>85</v>
      </c>
      <c r="N14" s="71" t="s">
        <v>49</v>
      </c>
      <c r="O14" s="351"/>
      <c r="P14" s="361"/>
      <c r="Q14" s="248" t="s">
        <v>85</v>
      </c>
      <c r="R14" s="274" t="s">
        <v>49</v>
      </c>
      <c r="S14" s="351"/>
      <c r="T14" s="361"/>
      <c r="U14" s="248" t="s">
        <v>85</v>
      </c>
      <c r="V14" s="248" t="s">
        <v>49</v>
      </c>
      <c r="W14" s="351"/>
      <c r="X14" s="328"/>
      <c r="Y14" s="328"/>
    </row>
    <row r="15" spans="2:26">
      <c r="B15" s="29"/>
      <c r="C15" s="262"/>
      <c r="D15" s="29"/>
      <c r="E15" s="29"/>
      <c r="F15" s="263"/>
      <c r="G15" s="29"/>
      <c r="H15" s="230"/>
      <c r="I15" s="29"/>
      <c r="J15" s="30"/>
      <c r="K15" s="322"/>
      <c r="L15" s="230"/>
      <c r="M15" s="29"/>
      <c r="N15" s="29"/>
      <c r="O15" s="230"/>
      <c r="P15" s="230"/>
      <c r="Q15" s="29"/>
      <c r="R15" s="30"/>
      <c r="S15" s="322"/>
      <c r="T15" s="230"/>
      <c r="U15" s="29"/>
      <c r="V15" s="29"/>
      <c r="W15" s="29"/>
      <c r="X15" s="329"/>
      <c r="Y15" s="329"/>
    </row>
    <row r="16" spans="2:26">
      <c r="B16" s="29"/>
      <c r="C16" s="264" t="s">
        <v>86</v>
      </c>
      <c r="D16" s="29"/>
      <c r="E16" s="29"/>
      <c r="F16" s="263"/>
      <c r="G16" s="29"/>
      <c r="H16" s="230"/>
      <c r="I16" s="29"/>
      <c r="J16" s="30"/>
      <c r="K16" s="322"/>
      <c r="L16" s="230"/>
      <c r="M16" s="29"/>
      <c r="N16" s="29"/>
      <c r="O16" s="230"/>
      <c r="P16" s="230"/>
      <c r="Q16" s="29"/>
      <c r="R16" s="30"/>
      <c r="S16" s="322"/>
      <c r="T16" s="230"/>
      <c r="U16" s="29"/>
      <c r="V16" s="29"/>
      <c r="W16" s="29"/>
      <c r="X16" s="329"/>
      <c r="Y16" s="329"/>
    </row>
    <row r="17" spans="2:25">
      <c r="B17" s="225">
        <v>1</v>
      </c>
      <c r="C17" s="265" t="s">
        <v>87</v>
      </c>
      <c r="D17" s="25">
        <v>1313.4</v>
      </c>
      <c r="E17" s="26">
        <v>3</v>
      </c>
      <c r="F17" s="27">
        <v>0</v>
      </c>
      <c r="G17" s="325">
        <v>83</v>
      </c>
      <c r="H17" s="266"/>
      <c r="I17" s="26"/>
      <c r="J17" s="26"/>
      <c r="K17" s="325"/>
      <c r="L17" s="68"/>
      <c r="M17" s="19"/>
      <c r="N17" s="19"/>
      <c r="O17" s="59"/>
      <c r="P17" s="99"/>
      <c r="Q17" s="64"/>
      <c r="R17" s="64"/>
      <c r="S17" s="66"/>
      <c r="T17" s="59">
        <f>+D17+H17+L17+P17</f>
        <v>1313.4</v>
      </c>
      <c r="U17" s="244">
        <f>+E17+I17+M17+Q17</f>
        <v>3</v>
      </c>
      <c r="V17" s="244">
        <f>+F17+J17+N17+R17</f>
        <v>0</v>
      </c>
      <c r="W17" s="244">
        <f>+S17+O17+K17+G17</f>
        <v>83</v>
      </c>
      <c r="X17" s="330"/>
      <c r="Y17" s="330"/>
    </row>
    <row r="18" spans="2:25">
      <c r="B18" s="225">
        <v>2</v>
      </c>
      <c r="C18" s="265" t="s">
        <v>88</v>
      </c>
      <c r="D18" s="25">
        <v>162.30000000000001</v>
      </c>
      <c r="E18" s="226">
        <v>9</v>
      </c>
      <c r="F18" s="227">
        <v>1</v>
      </c>
      <c r="G18" s="326">
        <v>6</v>
      </c>
      <c r="H18" s="63"/>
      <c r="I18" s="26"/>
      <c r="J18" s="26"/>
      <c r="K18" s="325"/>
      <c r="L18" s="68"/>
      <c r="M18" s="19"/>
      <c r="N18" s="19"/>
      <c r="O18" s="59"/>
      <c r="P18" s="63"/>
      <c r="Q18" s="64"/>
      <c r="R18" s="64"/>
      <c r="S18" s="66"/>
      <c r="T18" s="59">
        <f t="shared" ref="T18:T38" si="0">+D18+H18+L18+P18</f>
        <v>162.30000000000001</v>
      </c>
      <c r="U18" s="64">
        <f t="shared" ref="U18:U38" si="1">+E18+I18+M18+Q18</f>
        <v>9</v>
      </c>
      <c r="V18" s="244">
        <f t="shared" ref="V18:V38" si="2">+F18+J18+N18+R18</f>
        <v>1</v>
      </c>
      <c r="W18" s="244">
        <f t="shared" ref="W18:W38" si="3">+S18+O18+K18+G18</f>
        <v>6</v>
      </c>
      <c r="X18" s="331"/>
      <c r="Y18" s="331"/>
    </row>
    <row r="19" spans="2:25">
      <c r="B19" s="225">
        <v>3</v>
      </c>
      <c r="C19" s="265" t="s">
        <v>89</v>
      </c>
      <c r="D19" s="25">
        <v>779.2</v>
      </c>
      <c r="E19" s="26">
        <v>5</v>
      </c>
      <c r="F19" s="27">
        <v>0</v>
      </c>
      <c r="G19" s="325">
        <v>3</v>
      </c>
      <c r="H19" s="63"/>
      <c r="I19" s="26"/>
      <c r="J19" s="26"/>
      <c r="K19" s="325"/>
      <c r="L19" s="68"/>
      <c r="M19" s="19"/>
      <c r="N19" s="19"/>
      <c r="O19" s="59"/>
      <c r="P19" s="63"/>
      <c r="Q19" s="64"/>
      <c r="R19" s="64"/>
      <c r="S19" s="66"/>
      <c r="T19" s="59">
        <f t="shared" si="0"/>
        <v>779.2</v>
      </c>
      <c r="U19" s="64">
        <f t="shared" si="1"/>
        <v>5</v>
      </c>
      <c r="V19" s="244">
        <f t="shared" si="2"/>
        <v>0</v>
      </c>
      <c r="W19" s="244">
        <f t="shared" si="3"/>
        <v>3</v>
      </c>
      <c r="X19" s="331"/>
      <c r="Y19" s="331"/>
    </row>
    <row r="20" spans="2:25">
      <c r="B20" s="225">
        <v>4</v>
      </c>
      <c r="C20" s="265" t="s">
        <v>90</v>
      </c>
      <c r="D20" s="25">
        <v>0</v>
      </c>
      <c r="E20" s="26">
        <v>0</v>
      </c>
      <c r="F20" s="27">
        <v>0</v>
      </c>
      <c r="G20" s="26">
        <v>1</v>
      </c>
      <c r="H20" s="325"/>
      <c r="I20" s="26"/>
      <c r="J20" s="26"/>
      <c r="K20" s="325"/>
      <c r="L20" s="68"/>
      <c r="M20" s="19"/>
      <c r="N20" s="19"/>
      <c r="O20" s="59"/>
      <c r="P20" s="63"/>
      <c r="Q20" s="64"/>
      <c r="R20" s="64"/>
      <c r="S20" s="66"/>
      <c r="T20" s="59">
        <f t="shared" si="0"/>
        <v>0</v>
      </c>
      <c r="U20" s="64">
        <f t="shared" si="1"/>
        <v>0</v>
      </c>
      <c r="V20" s="244">
        <f t="shared" si="2"/>
        <v>0</v>
      </c>
      <c r="W20" s="244">
        <f t="shared" si="3"/>
        <v>1</v>
      </c>
      <c r="X20" s="331"/>
      <c r="Y20" s="331"/>
    </row>
    <row r="21" spans="2:25">
      <c r="B21" s="225">
        <v>5</v>
      </c>
      <c r="C21" s="265" t="s">
        <v>91</v>
      </c>
      <c r="D21" s="25">
        <v>0</v>
      </c>
      <c r="E21" s="26">
        <v>0</v>
      </c>
      <c r="F21" s="27">
        <v>0</v>
      </c>
      <c r="G21" s="26">
        <v>0</v>
      </c>
      <c r="H21" s="325"/>
      <c r="I21" s="26"/>
      <c r="J21" s="26"/>
      <c r="K21" s="325"/>
      <c r="L21" s="68"/>
      <c r="M21" s="19"/>
      <c r="N21" s="19"/>
      <c r="O21" s="59"/>
      <c r="P21" s="66"/>
      <c r="Q21" s="64"/>
      <c r="R21" s="64"/>
      <c r="S21" s="66"/>
      <c r="T21" s="59">
        <f t="shared" si="0"/>
        <v>0</v>
      </c>
      <c r="U21" s="64">
        <f t="shared" si="1"/>
        <v>0</v>
      </c>
      <c r="V21" s="244">
        <f t="shared" si="2"/>
        <v>0</v>
      </c>
      <c r="W21" s="244">
        <f t="shared" si="3"/>
        <v>0</v>
      </c>
      <c r="X21" s="331"/>
      <c r="Y21" s="331"/>
    </row>
    <row r="22" spans="2:25">
      <c r="B22" s="225">
        <v>6</v>
      </c>
      <c r="C22" s="265" t="s">
        <v>92</v>
      </c>
      <c r="D22" s="25">
        <v>76.7</v>
      </c>
      <c r="E22" s="26">
        <v>0</v>
      </c>
      <c r="F22" s="27">
        <v>0</v>
      </c>
      <c r="G22" s="325">
        <v>12</v>
      </c>
      <c r="H22" s="63"/>
      <c r="I22" s="64"/>
      <c r="J22" s="65"/>
      <c r="K22" s="323"/>
      <c r="L22" s="68"/>
      <c r="M22" s="19"/>
      <c r="N22" s="19"/>
      <c r="O22" s="59"/>
      <c r="P22" s="63"/>
      <c r="Q22" s="64"/>
      <c r="R22" s="64"/>
      <c r="S22" s="66"/>
      <c r="T22" s="59">
        <f t="shared" si="0"/>
        <v>76.7</v>
      </c>
      <c r="U22" s="64">
        <f t="shared" si="1"/>
        <v>0</v>
      </c>
      <c r="V22" s="244">
        <f t="shared" si="2"/>
        <v>0</v>
      </c>
      <c r="W22" s="244">
        <f t="shared" si="3"/>
        <v>12</v>
      </c>
      <c r="X22" s="331"/>
      <c r="Y22" s="331"/>
    </row>
    <row r="23" spans="2:25">
      <c r="B23" s="225">
        <v>7</v>
      </c>
      <c r="C23" s="265" t="s">
        <v>93</v>
      </c>
      <c r="D23" s="25">
        <v>634.70000000000005</v>
      </c>
      <c r="E23" s="26">
        <v>162</v>
      </c>
      <c r="F23" s="27">
        <v>0</v>
      </c>
      <c r="G23" s="325">
        <v>9</v>
      </c>
      <c r="H23" s="63"/>
      <c r="I23" s="26"/>
      <c r="J23" s="26"/>
      <c r="K23" s="325"/>
      <c r="L23" s="68"/>
      <c r="M23" s="19"/>
      <c r="N23" s="19"/>
      <c r="O23" s="59"/>
      <c r="P23" s="63"/>
      <c r="Q23" s="64"/>
      <c r="R23" s="65"/>
      <c r="S23" s="323"/>
      <c r="T23" s="59">
        <f t="shared" si="0"/>
        <v>634.70000000000005</v>
      </c>
      <c r="U23" s="64">
        <f t="shared" si="1"/>
        <v>162</v>
      </c>
      <c r="V23" s="244">
        <f t="shared" si="2"/>
        <v>0</v>
      </c>
      <c r="W23" s="244">
        <f t="shared" si="3"/>
        <v>9</v>
      </c>
      <c r="X23" s="331"/>
      <c r="Y23" s="331"/>
    </row>
    <row r="24" spans="2:25">
      <c r="B24" s="225">
        <v>8</v>
      </c>
      <c r="C24" s="265" t="s">
        <v>94</v>
      </c>
      <c r="D24" s="25">
        <v>0.5</v>
      </c>
      <c r="E24" s="26"/>
      <c r="F24" s="27">
        <v>0</v>
      </c>
      <c r="G24" s="325">
        <v>2</v>
      </c>
      <c r="H24" s="63"/>
      <c r="I24" s="26"/>
      <c r="J24" s="26"/>
      <c r="K24" s="325"/>
      <c r="L24" s="68"/>
      <c r="M24" s="19"/>
      <c r="N24" s="19"/>
      <c r="O24" s="59"/>
      <c r="P24" s="99"/>
      <c r="Q24" s="64"/>
      <c r="R24" s="64"/>
      <c r="S24" s="66"/>
      <c r="T24" s="59">
        <f t="shared" si="0"/>
        <v>0.5</v>
      </c>
      <c r="U24" s="64">
        <f t="shared" si="1"/>
        <v>0</v>
      </c>
      <c r="V24" s="244">
        <f t="shared" si="2"/>
        <v>0</v>
      </c>
      <c r="W24" s="244">
        <f t="shared" si="3"/>
        <v>2</v>
      </c>
      <c r="X24" s="331"/>
      <c r="Y24" s="331"/>
    </row>
    <row r="25" spans="2:25">
      <c r="B25" s="225">
        <v>9</v>
      </c>
      <c r="C25" s="265" t="s">
        <v>95</v>
      </c>
      <c r="D25" s="25">
        <v>387.9</v>
      </c>
      <c r="E25" s="26">
        <v>0</v>
      </c>
      <c r="F25" s="27">
        <v>0</v>
      </c>
      <c r="G25" s="325">
        <v>1</v>
      </c>
      <c r="H25" s="99"/>
      <c r="I25" s="26"/>
      <c r="J25" s="26"/>
      <c r="K25" s="325"/>
      <c r="L25" s="68"/>
      <c r="M25" s="19"/>
      <c r="N25" s="19"/>
      <c r="O25" s="59"/>
      <c r="P25" s="99"/>
      <c r="Q25" s="64"/>
      <c r="R25" s="64"/>
      <c r="S25" s="66"/>
      <c r="T25" s="59">
        <f t="shared" si="0"/>
        <v>387.9</v>
      </c>
      <c r="U25" s="64">
        <f t="shared" si="1"/>
        <v>0</v>
      </c>
      <c r="V25" s="244">
        <f t="shared" si="2"/>
        <v>0</v>
      </c>
      <c r="W25" s="244">
        <f t="shared" si="3"/>
        <v>1</v>
      </c>
      <c r="X25" s="331"/>
      <c r="Y25" s="331"/>
    </row>
    <row r="26" spans="2:25">
      <c r="B26" s="225">
        <v>10</v>
      </c>
      <c r="C26" s="265" t="s">
        <v>98</v>
      </c>
      <c r="D26" s="25">
        <v>6803</v>
      </c>
      <c r="E26" s="26">
        <v>6</v>
      </c>
      <c r="F26" s="27">
        <v>0</v>
      </c>
      <c r="G26" s="325">
        <v>9</v>
      </c>
      <c r="H26" s="63"/>
      <c r="I26" s="26"/>
      <c r="J26" s="26"/>
      <c r="K26" s="325"/>
      <c r="L26" s="68"/>
      <c r="M26" s="19"/>
      <c r="N26" s="19"/>
      <c r="O26" s="59"/>
      <c r="P26" s="59"/>
      <c r="Q26" s="64"/>
      <c r="R26" s="64"/>
      <c r="S26" s="66"/>
      <c r="T26" s="59">
        <f t="shared" si="0"/>
        <v>6803</v>
      </c>
      <c r="U26" s="64">
        <f t="shared" si="1"/>
        <v>6</v>
      </c>
      <c r="V26" s="244">
        <f t="shared" si="2"/>
        <v>0</v>
      </c>
      <c r="W26" s="244">
        <f t="shared" si="3"/>
        <v>9</v>
      </c>
      <c r="X26" s="331"/>
      <c r="Y26" s="331"/>
    </row>
    <row r="27" spans="2:25">
      <c r="B27" s="225">
        <v>11</v>
      </c>
      <c r="C27" s="265" t="s">
        <v>101</v>
      </c>
      <c r="D27" s="25">
        <v>408.8</v>
      </c>
      <c r="E27" s="26">
        <v>20</v>
      </c>
      <c r="F27" s="27">
        <v>0</v>
      </c>
      <c r="G27" s="325">
        <v>13</v>
      </c>
      <c r="H27" s="63"/>
      <c r="I27" s="26"/>
      <c r="J27" s="26"/>
      <c r="K27" s="325"/>
      <c r="L27" s="68"/>
      <c r="M27" s="19"/>
      <c r="N27" s="19"/>
      <c r="O27" s="59"/>
      <c r="P27" s="59"/>
      <c r="Q27" s="64"/>
      <c r="R27" s="64"/>
      <c r="S27" s="66"/>
      <c r="T27" s="59">
        <f t="shared" si="0"/>
        <v>408.8</v>
      </c>
      <c r="U27" s="64">
        <f t="shared" si="1"/>
        <v>20</v>
      </c>
      <c r="V27" s="244">
        <f t="shared" si="2"/>
        <v>0</v>
      </c>
      <c r="W27" s="244">
        <f t="shared" si="3"/>
        <v>13</v>
      </c>
      <c r="X27" s="331"/>
      <c r="Y27" s="331"/>
    </row>
    <row r="28" spans="2:25">
      <c r="B28" s="225">
        <v>12</v>
      </c>
      <c r="C28" s="265" t="s">
        <v>102</v>
      </c>
      <c r="D28" s="25">
        <v>2565.6</v>
      </c>
      <c r="E28" s="26">
        <v>45</v>
      </c>
      <c r="F28" s="27">
        <v>0</v>
      </c>
      <c r="G28" s="325">
        <v>18</v>
      </c>
      <c r="H28" s="63"/>
      <c r="I28" s="26"/>
      <c r="J28" s="26"/>
      <c r="K28" s="325"/>
      <c r="L28" s="68"/>
      <c r="M28" s="19"/>
      <c r="N28" s="19"/>
      <c r="O28" s="59"/>
      <c r="P28" s="59"/>
      <c r="Q28" s="64"/>
      <c r="R28" s="64"/>
      <c r="S28" s="66"/>
      <c r="T28" s="59">
        <f t="shared" si="0"/>
        <v>2565.6</v>
      </c>
      <c r="U28" s="64">
        <f t="shared" si="1"/>
        <v>45</v>
      </c>
      <c r="V28" s="244">
        <f t="shared" si="2"/>
        <v>0</v>
      </c>
      <c r="W28" s="244">
        <f t="shared" si="3"/>
        <v>18</v>
      </c>
      <c r="X28" s="331"/>
      <c r="Y28" s="331"/>
    </row>
    <row r="29" spans="2:25">
      <c r="B29" s="225"/>
      <c r="C29" s="267"/>
      <c r="D29" s="64"/>
      <c r="E29" s="64"/>
      <c r="F29" s="65"/>
      <c r="G29" s="66"/>
      <c r="H29" s="230"/>
      <c r="I29" s="29"/>
      <c r="J29" s="30"/>
      <c r="K29" s="322"/>
      <c r="L29" s="92"/>
      <c r="M29" s="10"/>
      <c r="N29" s="10"/>
      <c r="O29" s="60"/>
      <c r="P29" s="60"/>
      <c r="Q29" s="29"/>
      <c r="R29" s="30"/>
      <c r="S29" s="322"/>
      <c r="T29" s="59">
        <f t="shared" si="0"/>
        <v>0</v>
      </c>
      <c r="U29" s="64">
        <f t="shared" si="1"/>
        <v>0</v>
      </c>
      <c r="V29" s="244">
        <f t="shared" si="2"/>
        <v>0</v>
      </c>
      <c r="W29" s="244">
        <f t="shared" si="3"/>
        <v>0</v>
      </c>
      <c r="X29" s="331"/>
      <c r="Y29" s="331"/>
    </row>
    <row r="30" spans="2:25">
      <c r="B30" s="225"/>
      <c r="C30" s="268" t="s">
        <v>105</v>
      </c>
      <c r="D30" s="64"/>
      <c r="E30" s="64"/>
      <c r="F30" s="65"/>
      <c r="G30" s="66"/>
      <c r="H30" s="230"/>
      <c r="I30" s="29"/>
      <c r="J30" s="65"/>
      <c r="K30" s="323"/>
      <c r="L30" s="92"/>
      <c r="M30" s="10"/>
      <c r="N30" s="19"/>
      <c r="O30" s="59"/>
      <c r="P30" s="60"/>
      <c r="Q30" s="29"/>
      <c r="R30" s="65"/>
      <c r="S30" s="323"/>
      <c r="T30" s="59">
        <f t="shared" si="0"/>
        <v>0</v>
      </c>
      <c r="U30" s="64">
        <f t="shared" si="1"/>
        <v>0</v>
      </c>
      <c r="V30" s="244">
        <f t="shared" si="2"/>
        <v>0</v>
      </c>
      <c r="W30" s="244">
        <f t="shared" si="3"/>
        <v>0</v>
      </c>
      <c r="X30" s="331"/>
      <c r="Y30" s="331"/>
    </row>
    <row r="31" spans="2:25" ht="15.75">
      <c r="B31" s="225">
        <v>13</v>
      </c>
      <c r="C31" s="269" t="s">
        <v>106</v>
      </c>
      <c r="D31" s="25">
        <v>7082.2</v>
      </c>
      <c r="E31" s="26">
        <v>35</v>
      </c>
      <c r="F31" s="27">
        <v>0</v>
      </c>
      <c r="G31" s="325">
        <v>124</v>
      </c>
      <c r="H31" s="63"/>
      <c r="I31" s="64"/>
      <c r="J31" s="65"/>
      <c r="K31" s="323"/>
      <c r="L31" s="68"/>
      <c r="M31" s="19"/>
      <c r="N31" s="19"/>
      <c r="O31" s="59"/>
      <c r="P31" s="59"/>
      <c r="Q31" s="64"/>
      <c r="R31" s="65"/>
      <c r="S31" s="323"/>
      <c r="T31" s="59">
        <f t="shared" si="0"/>
        <v>7082.2</v>
      </c>
      <c r="U31" s="64">
        <f t="shared" si="1"/>
        <v>35</v>
      </c>
      <c r="V31" s="244">
        <f t="shared" si="2"/>
        <v>0</v>
      </c>
      <c r="W31" s="244">
        <f t="shared" si="3"/>
        <v>124</v>
      </c>
      <c r="X31" s="331"/>
      <c r="Y31" s="331"/>
    </row>
    <row r="32" spans="2:25">
      <c r="B32" s="225">
        <v>14</v>
      </c>
      <c r="C32" s="265" t="s">
        <v>89</v>
      </c>
      <c r="D32" s="25">
        <v>0</v>
      </c>
      <c r="E32" s="26">
        <v>0</v>
      </c>
      <c r="F32" s="27">
        <v>0</v>
      </c>
      <c r="G32" s="26">
        <v>0</v>
      </c>
      <c r="H32" s="325"/>
      <c r="I32" s="26"/>
      <c r="J32" s="26"/>
      <c r="K32" s="325"/>
      <c r="L32" s="59"/>
      <c r="M32" s="59"/>
      <c r="N32" s="59"/>
      <c r="O32" s="59"/>
      <c r="P32" s="59"/>
      <c r="Q32" s="64"/>
      <c r="R32" s="64"/>
      <c r="S32" s="66"/>
      <c r="T32" s="59">
        <f t="shared" si="0"/>
        <v>0</v>
      </c>
      <c r="U32" s="64">
        <f t="shared" si="1"/>
        <v>0</v>
      </c>
      <c r="V32" s="244">
        <f t="shared" si="2"/>
        <v>0</v>
      </c>
      <c r="W32" s="244">
        <f t="shared" si="3"/>
        <v>0</v>
      </c>
      <c r="X32" s="331"/>
      <c r="Y32" s="331"/>
    </row>
    <row r="33" spans="2:33">
      <c r="B33" s="225">
        <v>15</v>
      </c>
      <c r="C33" s="265" t="s">
        <v>107</v>
      </c>
      <c r="D33" s="25">
        <v>0</v>
      </c>
      <c r="E33" s="26">
        <v>0</v>
      </c>
      <c r="F33" s="27">
        <v>0</v>
      </c>
      <c r="G33" s="26">
        <v>0</v>
      </c>
      <c r="H33" s="26"/>
      <c r="I33" s="26"/>
      <c r="J33" s="26"/>
      <c r="K33" s="325"/>
      <c r="L33" s="59"/>
      <c r="M33" s="59"/>
      <c r="N33" s="59"/>
      <c r="O33" s="59"/>
      <c r="P33" s="59"/>
      <c r="Q33" s="64"/>
      <c r="R33" s="64"/>
      <c r="S33" s="66"/>
      <c r="T33" s="59">
        <f t="shared" si="0"/>
        <v>0</v>
      </c>
      <c r="U33" s="64">
        <f t="shared" si="1"/>
        <v>0</v>
      </c>
      <c r="V33" s="244">
        <f t="shared" si="2"/>
        <v>0</v>
      </c>
      <c r="W33" s="244">
        <f t="shared" si="3"/>
        <v>0</v>
      </c>
      <c r="X33" s="331"/>
      <c r="Y33" s="331"/>
    </row>
    <row r="34" spans="2:33" ht="15" customHeight="1">
      <c r="B34" s="225">
        <v>16</v>
      </c>
      <c r="C34" s="265" t="s">
        <v>108</v>
      </c>
      <c r="D34" s="25">
        <v>0</v>
      </c>
      <c r="E34" s="26">
        <v>0</v>
      </c>
      <c r="F34" s="27">
        <v>0</v>
      </c>
      <c r="G34" s="67">
        <v>1</v>
      </c>
      <c r="H34" s="26"/>
      <c r="I34" s="26"/>
      <c r="J34" s="26"/>
      <c r="K34" s="325"/>
      <c r="L34" s="59"/>
      <c r="M34" s="19"/>
      <c r="N34" s="19"/>
      <c r="O34" s="59"/>
      <c r="P34" s="59"/>
      <c r="Q34" s="64"/>
      <c r="R34" s="64"/>
      <c r="S34" s="66"/>
      <c r="T34" s="59">
        <f t="shared" si="0"/>
        <v>0</v>
      </c>
      <c r="U34" s="64">
        <f t="shared" si="1"/>
        <v>0</v>
      </c>
      <c r="V34" s="244">
        <f t="shared" si="2"/>
        <v>0</v>
      </c>
      <c r="W34" s="244">
        <f t="shared" si="3"/>
        <v>1</v>
      </c>
      <c r="X34" s="331"/>
      <c r="Y34" s="331"/>
    </row>
    <row r="35" spans="2:33">
      <c r="B35" s="225">
        <v>17</v>
      </c>
      <c r="C35" s="265" t="s">
        <v>109</v>
      </c>
      <c r="D35" s="25">
        <v>0</v>
      </c>
      <c r="E35" s="26">
        <v>0</v>
      </c>
      <c r="F35" s="27">
        <v>0</v>
      </c>
      <c r="G35" s="26">
        <v>0</v>
      </c>
      <c r="H35" s="26"/>
      <c r="I35" s="26"/>
      <c r="J35" s="26"/>
      <c r="K35" s="325"/>
      <c r="L35" s="59"/>
      <c r="M35" s="59"/>
      <c r="N35" s="59"/>
      <c r="O35" s="59"/>
      <c r="P35" s="59"/>
      <c r="Q35" s="64"/>
      <c r="R35" s="64"/>
      <c r="S35" s="66"/>
      <c r="T35" s="59">
        <f t="shared" si="0"/>
        <v>0</v>
      </c>
      <c r="U35" s="64">
        <f t="shared" si="1"/>
        <v>0</v>
      </c>
      <c r="V35" s="244">
        <f t="shared" si="2"/>
        <v>0</v>
      </c>
      <c r="W35" s="244">
        <f t="shared" si="3"/>
        <v>0</v>
      </c>
      <c r="X35" s="331"/>
      <c r="Y35" s="331"/>
      <c r="AG35" s="278">
        <f>+T40+'PMDN LOKASI'!T39</f>
        <v>304749614.38</v>
      </c>
    </row>
    <row r="36" spans="2:33">
      <c r="B36" s="225">
        <v>18</v>
      </c>
      <c r="C36" s="265" t="s">
        <v>110</v>
      </c>
      <c r="D36" s="25">
        <v>0</v>
      </c>
      <c r="E36" s="26">
        <v>0</v>
      </c>
      <c r="F36" s="27">
        <v>0</v>
      </c>
      <c r="G36" s="26">
        <v>0</v>
      </c>
      <c r="H36" s="26"/>
      <c r="I36" s="26"/>
      <c r="J36" s="26"/>
      <c r="K36" s="325"/>
      <c r="L36" s="59"/>
      <c r="M36" s="59"/>
      <c r="N36" s="59"/>
      <c r="O36" s="59"/>
      <c r="P36" s="59"/>
      <c r="Q36" s="64"/>
      <c r="R36" s="64"/>
      <c r="S36" s="66"/>
      <c r="T36" s="59">
        <f t="shared" si="0"/>
        <v>0</v>
      </c>
      <c r="U36" s="64">
        <f t="shared" si="1"/>
        <v>0</v>
      </c>
      <c r="V36" s="244">
        <f t="shared" si="2"/>
        <v>0</v>
      </c>
      <c r="W36" s="244">
        <f t="shared" si="3"/>
        <v>0</v>
      </c>
      <c r="X36" s="331"/>
      <c r="Y36" s="331"/>
    </row>
    <row r="37" spans="2:33">
      <c r="B37" s="225">
        <v>19</v>
      </c>
      <c r="C37" s="270" t="s">
        <v>111</v>
      </c>
      <c r="D37" s="25">
        <v>0</v>
      </c>
      <c r="E37" s="26">
        <v>0</v>
      </c>
      <c r="F37" s="27">
        <v>0</v>
      </c>
      <c r="G37" s="26">
        <v>0</v>
      </c>
      <c r="H37" s="26"/>
      <c r="I37" s="26"/>
      <c r="J37" s="26"/>
      <c r="K37" s="325"/>
      <c r="L37" s="59"/>
      <c r="M37" s="59"/>
      <c r="N37" s="59"/>
      <c r="O37" s="59"/>
      <c r="P37" s="59"/>
      <c r="Q37" s="64"/>
      <c r="R37" s="65"/>
      <c r="S37" s="323"/>
      <c r="T37" s="59">
        <f t="shared" si="0"/>
        <v>0</v>
      </c>
      <c r="U37" s="64">
        <f t="shared" si="1"/>
        <v>0</v>
      </c>
      <c r="V37" s="244">
        <f t="shared" si="2"/>
        <v>0</v>
      </c>
      <c r="W37" s="244">
        <f t="shared" si="3"/>
        <v>0</v>
      </c>
      <c r="X37" s="331"/>
      <c r="Y37" s="331"/>
    </row>
    <row r="38" spans="2:33">
      <c r="B38" s="29"/>
      <c r="C38" s="29"/>
      <c r="D38" s="25">
        <v>0</v>
      </c>
      <c r="E38" s="26">
        <v>0</v>
      </c>
      <c r="F38" s="27">
        <v>0</v>
      </c>
      <c r="G38" s="26">
        <v>0</v>
      </c>
      <c r="H38" s="26"/>
      <c r="I38" s="26"/>
      <c r="J38" s="26"/>
      <c r="K38" s="325"/>
      <c r="L38" s="60"/>
      <c r="M38" s="10"/>
      <c r="N38" s="10"/>
      <c r="O38" s="60"/>
      <c r="P38" s="60"/>
      <c r="Q38" s="29"/>
      <c r="R38" s="30"/>
      <c r="S38" s="322"/>
      <c r="T38" s="59">
        <f t="shared" si="0"/>
        <v>0</v>
      </c>
      <c r="U38" s="64">
        <f t="shared" si="1"/>
        <v>0</v>
      </c>
      <c r="V38" s="244">
        <f t="shared" si="2"/>
        <v>0</v>
      </c>
      <c r="W38" s="244">
        <f t="shared" si="3"/>
        <v>0</v>
      </c>
      <c r="X38" s="331"/>
      <c r="Y38" s="331"/>
    </row>
    <row r="39" spans="2:33">
      <c r="B39" s="362" t="s">
        <v>112</v>
      </c>
      <c r="C39" s="362"/>
      <c r="D39" s="333">
        <f>SUM(D17:D38)</f>
        <v>20214.3</v>
      </c>
      <c r="E39" s="333">
        <f t="shared" ref="E39:G39" si="4">SUM(E17:E38)</f>
        <v>285</v>
      </c>
      <c r="F39" s="333">
        <f t="shared" si="4"/>
        <v>1</v>
      </c>
      <c r="G39" s="333">
        <f t="shared" si="4"/>
        <v>282</v>
      </c>
      <c r="H39" s="272">
        <f t="shared" ref="H39:R39" si="5">SUM(H17:H37)</f>
        <v>0</v>
      </c>
      <c r="I39" s="271">
        <f t="shared" si="5"/>
        <v>0</v>
      </c>
      <c r="J39" s="275">
        <f t="shared" si="5"/>
        <v>0</v>
      </c>
      <c r="K39" s="324"/>
      <c r="L39" s="272">
        <f t="shared" si="5"/>
        <v>0</v>
      </c>
      <c r="M39" s="271">
        <f t="shared" si="5"/>
        <v>0</v>
      </c>
      <c r="N39" s="271">
        <f t="shared" si="5"/>
        <v>0</v>
      </c>
      <c r="O39" s="327"/>
      <c r="P39" s="276">
        <f t="shared" si="5"/>
        <v>0</v>
      </c>
      <c r="Q39" s="271">
        <f t="shared" si="5"/>
        <v>0</v>
      </c>
      <c r="R39" s="275">
        <f t="shared" si="5"/>
        <v>0</v>
      </c>
      <c r="S39" s="324"/>
      <c r="T39" s="272">
        <f>SUM(T17:T38)</f>
        <v>20214.3</v>
      </c>
      <c r="U39" s="272">
        <f>SUM(U17:U38)</f>
        <v>285</v>
      </c>
      <c r="V39" s="272">
        <f>SUM(V17:V38)</f>
        <v>1</v>
      </c>
      <c r="W39" s="272">
        <f t="shared" ref="W39" si="6">SUM(W17:W38)</f>
        <v>282</v>
      </c>
      <c r="X39" s="332"/>
      <c r="Y39" s="332"/>
    </row>
    <row r="40" spans="2:33" ht="18.75">
      <c r="B40" s="123" t="s">
        <v>116</v>
      </c>
      <c r="D40" s="273">
        <f>+D39*15000</f>
        <v>303214500</v>
      </c>
      <c r="H40" s="6">
        <f>+H39*14350</f>
        <v>0</v>
      </c>
      <c r="L40" s="6">
        <f>+L39*14350</f>
        <v>0</v>
      </c>
      <c r="P40" s="363"/>
      <c r="Q40" s="363"/>
      <c r="T40" s="277">
        <f>+T39*15000</f>
        <v>303214500</v>
      </c>
    </row>
    <row r="41" spans="2:33" hidden="1"/>
    <row r="42" spans="2:33" hidden="1">
      <c r="D42" s="6">
        <v>5827</v>
      </c>
      <c r="E42">
        <v>22</v>
      </c>
      <c r="F42">
        <v>12</v>
      </c>
      <c r="T42" s="272">
        <f>(T39)*1000</f>
        <v>20214300</v>
      </c>
    </row>
    <row r="43" spans="2:33" hidden="1">
      <c r="T43" s="272">
        <f>T42*14600</f>
        <v>295128780000</v>
      </c>
    </row>
    <row r="44" spans="2:33" hidden="1">
      <c r="T44" s="272">
        <f>T43/1000000</f>
        <v>295128.78000000003</v>
      </c>
    </row>
    <row r="45" spans="2:33" ht="15" hidden="1" customHeight="1">
      <c r="T45" s="272">
        <f>T44+'PMDN LOKASI'!T75</f>
        <v>4478842.68</v>
      </c>
    </row>
    <row r="46" spans="2:33" hidden="1">
      <c r="T46" s="165">
        <f>(T45/4759000)*100</f>
        <v>94.113105274217261</v>
      </c>
    </row>
    <row r="47" spans="2:33">
      <c r="B47" t="s">
        <v>117</v>
      </c>
      <c r="D47" s="279">
        <f>'PMDN LOKASI'!D39</f>
        <v>1535114.3799999997</v>
      </c>
    </row>
    <row r="48" spans="2:33">
      <c r="D48" s="403">
        <f>+D40+D47</f>
        <v>304749614.38</v>
      </c>
      <c r="L48" s="259"/>
    </row>
    <row r="50" spans="17:17">
      <c r="Q50" s="6">
        <f>+Q49*14600</f>
        <v>0</v>
      </c>
    </row>
  </sheetData>
  <mergeCells count="28">
    <mergeCell ref="Q13:R13"/>
    <mergeCell ref="T13:T14"/>
    <mergeCell ref="S13:S14"/>
    <mergeCell ref="B7:W7"/>
    <mergeCell ref="B8:W8"/>
    <mergeCell ref="B9:W9"/>
    <mergeCell ref="B10:W10"/>
    <mergeCell ref="D12:F12"/>
    <mergeCell ref="H12:J12"/>
    <mergeCell ref="L12:N12"/>
    <mergeCell ref="P12:R12"/>
    <mergeCell ref="T12:W12"/>
    <mergeCell ref="U13:V13"/>
    <mergeCell ref="W13:W14"/>
    <mergeCell ref="B39:C39"/>
    <mergeCell ref="P40:Q40"/>
    <mergeCell ref="B12:B14"/>
    <mergeCell ref="C12:C14"/>
    <mergeCell ref="D13:D14"/>
    <mergeCell ref="H13:H14"/>
    <mergeCell ref="L13:L14"/>
    <mergeCell ref="P13:P14"/>
    <mergeCell ref="G13:G14"/>
    <mergeCell ref="K13:K14"/>
    <mergeCell ref="O13:O14"/>
    <mergeCell ref="E13:F13"/>
    <mergeCell ref="I13:J13"/>
    <mergeCell ref="M13:N13"/>
  </mergeCells>
  <printOptions horizontalCentered="1"/>
  <pageMargins left="0.60433070899999997" right="0.35433070866141703" top="0.98425196850393704" bottom="0.98425196850393704" header="0.511811023622047" footer="0.511811023622047"/>
  <pageSetup paperSize="9" scale="47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PBrush" shapeId="1026" r:id="rId4">
          <objectPr defaultSize="0" autoPict="0" altText="" r:id="rId5">
            <anchor moveWithCells="1" sizeWithCells="1">
              <from>
                <xdr:col>7</xdr:col>
                <xdr:colOff>971550</xdr:colOff>
                <xdr:row>0</xdr:row>
                <xdr:rowOff>161925</xdr:rowOff>
              </from>
              <to>
                <xdr:col>8</xdr:col>
                <xdr:colOff>457200</xdr:colOff>
                <xdr:row>5</xdr:row>
                <xdr:rowOff>19050</xdr:rowOff>
              </to>
            </anchor>
          </objectPr>
        </oleObject>
      </mc:Choice>
      <mc:Fallback>
        <oleObject progId="PBrush" shapeId="1026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Z54"/>
  <sheetViews>
    <sheetView view="pageBreakPreview" topLeftCell="L35" zoomScale="115" zoomScaleNormal="100" workbookViewId="0">
      <selection activeCell="W52" sqref="W52"/>
    </sheetView>
  </sheetViews>
  <sheetFormatPr defaultColWidth="9.140625" defaultRowHeight="15"/>
  <cols>
    <col min="1" max="1" width="0.5703125" customWidth="1"/>
    <col min="2" max="2" width="5.85546875" customWidth="1"/>
    <col min="3" max="3" width="33.7109375" customWidth="1"/>
    <col min="4" max="4" width="14.140625" customWidth="1"/>
    <col min="5" max="5" width="10.85546875" customWidth="1"/>
    <col min="6" max="6" width="8" customWidth="1"/>
    <col min="7" max="8" width="12.28515625" customWidth="1"/>
    <col min="9" max="9" width="10.85546875" customWidth="1"/>
    <col min="10" max="10" width="9.140625" customWidth="1"/>
    <col min="11" max="12" width="14" customWidth="1"/>
    <col min="13" max="13" width="10.5703125" customWidth="1"/>
    <col min="14" max="14" width="8.28515625" customWidth="1"/>
    <col min="15" max="16" width="12.28515625" customWidth="1"/>
    <col min="17" max="17" width="10.85546875" customWidth="1"/>
    <col min="18" max="18" width="10" customWidth="1"/>
    <col min="19" max="20" width="15.5703125" customWidth="1"/>
    <col min="21" max="21" width="11.85546875" customWidth="1"/>
    <col min="22" max="22" width="9.140625" customWidth="1"/>
    <col min="23" max="23" width="11.42578125" customWidth="1"/>
    <col min="24" max="25" width="9.140625" customWidth="1"/>
  </cols>
  <sheetData>
    <row r="6" spans="2:24" ht="18">
      <c r="B6" s="354" t="s">
        <v>33</v>
      </c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</row>
    <row r="7" spans="2:24" ht="18">
      <c r="B7" s="354" t="s">
        <v>34</v>
      </c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4"/>
    </row>
    <row r="8" spans="2:24" ht="15" customHeight="1">
      <c r="B8" s="354" t="s">
        <v>179</v>
      </c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354"/>
    </row>
    <row r="9" spans="2:24" ht="15" customHeight="1">
      <c r="B9" s="354" t="s">
        <v>36</v>
      </c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</row>
    <row r="11" spans="2:24">
      <c r="B11" s="35"/>
    </row>
    <row r="12" spans="2:24">
      <c r="B12" s="348" t="s">
        <v>37</v>
      </c>
      <c r="C12" s="349" t="s">
        <v>38</v>
      </c>
      <c r="D12" s="355" t="s">
        <v>39</v>
      </c>
      <c r="E12" s="355"/>
      <c r="F12" s="356"/>
      <c r="G12" s="281"/>
      <c r="H12" s="357" t="s">
        <v>40</v>
      </c>
      <c r="I12" s="355"/>
      <c r="J12" s="358"/>
      <c r="K12" s="281"/>
      <c r="L12" s="359" t="s">
        <v>41</v>
      </c>
      <c r="M12" s="355"/>
      <c r="N12" s="356"/>
      <c r="O12" s="281"/>
      <c r="P12" s="357" t="s">
        <v>42</v>
      </c>
      <c r="Q12" s="355"/>
      <c r="R12" s="358"/>
      <c r="S12" s="281"/>
      <c r="T12" s="359" t="s">
        <v>43</v>
      </c>
      <c r="U12" s="355"/>
      <c r="V12" s="355"/>
      <c r="W12" s="37"/>
    </row>
    <row r="13" spans="2:24" ht="39.75" customHeight="1">
      <c r="B13" s="348"/>
      <c r="C13" s="349"/>
      <c r="D13" s="39" t="s">
        <v>44</v>
      </c>
      <c r="E13" s="343" t="s">
        <v>45</v>
      </c>
      <c r="F13" s="352"/>
      <c r="G13" s="350" t="s">
        <v>46</v>
      </c>
      <c r="H13" s="39" t="s">
        <v>44</v>
      </c>
      <c r="I13" s="343" t="s">
        <v>45</v>
      </c>
      <c r="J13" s="352"/>
      <c r="K13" s="350" t="s">
        <v>46</v>
      </c>
      <c r="L13" s="39" t="s">
        <v>44</v>
      </c>
      <c r="M13" s="343" t="s">
        <v>45</v>
      </c>
      <c r="N13" s="352"/>
      <c r="O13" s="350" t="s">
        <v>46</v>
      </c>
      <c r="P13" s="39" t="s">
        <v>44</v>
      </c>
      <c r="Q13" s="343" t="s">
        <v>45</v>
      </c>
      <c r="R13" s="352"/>
      <c r="S13" s="350" t="s">
        <v>46</v>
      </c>
      <c r="T13" s="39" t="s">
        <v>44</v>
      </c>
      <c r="U13" s="343" t="s">
        <v>45</v>
      </c>
      <c r="V13" s="353"/>
      <c r="W13" s="344" t="s">
        <v>46</v>
      </c>
      <c r="X13" s="343"/>
    </row>
    <row r="14" spans="2:24" ht="27.95" customHeight="1">
      <c r="B14" s="348"/>
      <c r="C14" s="349"/>
      <c r="D14" s="39" t="s">
        <v>47</v>
      </c>
      <c r="E14" s="73" t="s">
        <v>48</v>
      </c>
      <c r="F14" s="74" t="s">
        <v>49</v>
      </c>
      <c r="G14" s="351"/>
      <c r="H14" s="39" t="s">
        <v>47</v>
      </c>
      <c r="I14" s="73" t="s">
        <v>48</v>
      </c>
      <c r="J14" s="74" t="s">
        <v>49</v>
      </c>
      <c r="K14" s="351"/>
      <c r="L14" s="39" t="s">
        <v>47</v>
      </c>
      <c r="M14" s="73" t="s">
        <v>48</v>
      </c>
      <c r="N14" s="74" t="s">
        <v>49</v>
      </c>
      <c r="O14" s="351"/>
      <c r="P14" s="39" t="s">
        <v>47</v>
      </c>
      <c r="Q14" s="73" t="s">
        <v>48</v>
      </c>
      <c r="R14" s="74" t="s">
        <v>49</v>
      </c>
      <c r="S14" s="351"/>
      <c r="T14" s="39" t="s">
        <v>47</v>
      </c>
      <c r="U14" s="73" t="s">
        <v>48</v>
      </c>
      <c r="V14" s="298" t="s">
        <v>49</v>
      </c>
      <c r="W14" s="345"/>
      <c r="X14" s="343"/>
    </row>
    <row r="15" spans="2:24">
      <c r="B15" s="40"/>
      <c r="C15" s="41"/>
      <c r="D15" s="43"/>
      <c r="E15" s="53"/>
      <c r="F15" s="76"/>
      <c r="G15" s="283"/>
      <c r="H15" s="43"/>
      <c r="I15" s="53"/>
      <c r="J15" s="76"/>
      <c r="K15" s="283"/>
      <c r="L15" s="43"/>
      <c r="M15" s="53"/>
      <c r="N15" s="76"/>
      <c r="O15" s="283"/>
      <c r="P15" s="43"/>
      <c r="Q15" s="53"/>
      <c r="R15" s="76"/>
      <c r="S15" s="283"/>
      <c r="T15" s="43"/>
      <c r="U15" s="53"/>
      <c r="V15" s="76"/>
      <c r="W15" s="283"/>
    </row>
    <row r="16" spans="2:24">
      <c r="B16" s="40" t="s">
        <v>50</v>
      </c>
      <c r="C16" s="44" t="s">
        <v>51</v>
      </c>
      <c r="D16" s="240">
        <f t="shared" ref="D16:J16" si="0">SUM(D17:D20)</f>
        <v>4164.6000000000004</v>
      </c>
      <c r="E16" s="240">
        <f t="shared" si="0"/>
        <v>201</v>
      </c>
      <c r="F16" s="240">
        <f t="shared" si="0"/>
        <v>0</v>
      </c>
      <c r="G16" s="240">
        <f t="shared" si="0"/>
        <v>24</v>
      </c>
      <c r="H16" s="240">
        <f t="shared" si="0"/>
        <v>0</v>
      </c>
      <c r="I16" s="240">
        <f t="shared" si="0"/>
        <v>0</v>
      </c>
      <c r="J16" s="240">
        <f t="shared" si="0"/>
        <v>0</v>
      </c>
      <c r="K16" s="240"/>
      <c r="L16" s="240">
        <f>SUM(L17:L20)</f>
        <v>0</v>
      </c>
      <c r="M16" s="240">
        <f>SUM(M17:M20)</f>
        <v>0</v>
      </c>
      <c r="N16" s="240">
        <f>SUM(N17:N20)</f>
        <v>0</v>
      </c>
      <c r="O16" s="240"/>
      <c r="P16" s="240">
        <f>SUM(P17:P20)</f>
        <v>0</v>
      </c>
      <c r="Q16" s="240">
        <f>SUM(Q17:Q20)</f>
        <v>0</v>
      </c>
      <c r="R16" s="240">
        <f>SUM(R17:R20)</f>
        <v>0</v>
      </c>
      <c r="S16" s="240"/>
      <c r="T16" s="240">
        <f>SUM(T17:T20)</f>
        <v>4164.6000000000004</v>
      </c>
      <c r="U16" s="241">
        <f>SUM(U17:U20)</f>
        <v>201</v>
      </c>
      <c r="V16" s="242">
        <f>SUM(V17:V20)</f>
        <v>0</v>
      </c>
      <c r="W16" s="122">
        <f>+S16+O16+K16+G16</f>
        <v>24</v>
      </c>
    </row>
    <row r="17" spans="2:23" ht="28.5">
      <c r="B17" s="169">
        <v>1</v>
      </c>
      <c r="C17" s="48" t="s">
        <v>52</v>
      </c>
      <c r="D17" s="210">
        <v>3690</v>
      </c>
      <c r="E17" s="208">
        <v>196</v>
      </c>
      <c r="F17" s="209">
        <v>0</v>
      </c>
      <c r="G17" s="292">
        <v>21</v>
      </c>
      <c r="H17" s="207"/>
      <c r="I17" s="208"/>
      <c r="J17" s="209"/>
      <c r="K17" s="292"/>
      <c r="L17" s="207"/>
      <c r="M17" s="137"/>
      <c r="N17" s="138"/>
      <c r="O17" s="290"/>
      <c r="P17" s="136"/>
      <c r="Q17" s="137"/>
      <c r="R17" s="138"/>
      <c r="S17" s="290"/>
      <c r="T17" s="136">
        <f t="shared" ref="T17:V20" si="1">+D17+H17+L17+P17</f>
        <v>3690</v>
      </c>
      <c r="U17" s="136">
        <f t="shared" si="1"/>
        <v>196</v>
      </c>
      <c r="V17" s="136">
        <f t="shared" si="1"/>
        <v>0</v>
      </c>
      <c r="W17" s="122">
        <f t="shared" ref="W17:W45" si="2">+S17+O17+K17+G17</f>
        <v>21</v>
      </c>
    </row>
    <row r="18" spans="2:23">
      <c r="B18" s="169">
        <v>3</v>
      </c>
      <c r="C18" s="48" t="s">
        <v>53</v>
      </c>
      <c r="D18" s="210"/>
      <c r="E18" s="208"/>
      <c r="F18" s="209"/>
      <c r="G18" s="292"/>
      <c r="H18" s="207"/>
      <c r="I18" s="208"/>
      <c r="J18" s="209"/>
      <c r="K18" s="292"/>
      <c r="L18" s="207"/>
      <c r="M18" s="208"/>
      <c r="N18" s="209"/>
      <c r="O18" s="293"/>
      <c r="P18" s="210"/>
      <c r="Q18" s="208"/>
      <c r="R18" s="209"/>
      <c r="S18" s="290"/>
      <c r="T18" s="136">
        <f t="shared" si="1"/>
        <v>0</v>
      </c>
      <c r="U18" s="136">
        <f t="shared" si="1"/>
        <v>0</v>
      </c>
      <c r="V18" s="136">
        <f t="shared" si="1"/>
        <v>0</v>
      </c>
      <c r="W18" s="122">
        <f t="shared" si="2"/>
        <v>0</v>
      </c>
    </row>
    <row r="19" spans="2:23">
      <c r="B19" s="169">
        <v>4</v>
      </c>
      <c r="C19" s="48" t="s">
        <v>54</v>
      </c>
      <c r="D19" s="210"/>
      <c r="E19" s="208"/>
      <c r="F19" s="209"/>
      <c r="G19" s="292"/>
      <c r="H19" s="207"/>
      <c r="I19" s="208"/>
      <c r="J19" s="209"/>
      <c r="K19" s="292"/>
      <c r="L19" s="207"/>
      <c r="M19" s="208"/>
      <c r="N19" s="209"/>
      <c r="O19" s="293"/>
      <c r="P19" s="210"/>
      <c r="Q19" s="208"/>
      <c r="R19" s="209"/>
      <c r="S19" s="290"/>
      <c r="T19" s="136">
        <f t="shared" si="1"/>
        <v>0</v>
      </c>
      <c r="U19" s="136">
        <f t="shared" si="1"/>
        <v>0</v>
      </c>
      <c r="V19" s="136">
        <f t="shared" si="1"/>
        <v>0</v>
      </c>
      <c r="W19" s="122">
        <f t="shared" si="2"/>
        <v>0</v>
      </c>
    </row>
    <row r="20" spans="2:23" ht="14.25" customHeight="1">
      <c r="B20" s="169">
        <v>5</v>
      </c>
      <c r="C20" s="48" t="s">
        <v>55</v>
      </c>
      <c r="D20" s="210">
        <v>474.6</v>
      </c>
      <c r="E20" s="208">
        <v>5</v>
      </c>
      <c r="F20" s="209">
        <v>0</v>
      </c>
      <c r="G20" s="292">
        <v>3</v>
      </c>
      <c r="H20" s="207"/>
      <c r="I20" s="208"/>
      <c r="J20" s="209"/>
      <c r="K20" s="292"/>
      <c r="L20" s="207"/>
      <c r="M20" s="208"/>
      <c r="N20" s="209"/>
      <c r="O20" s="293"/>
      <c r="P20" s="210"/>
      <c r="Q20" s="208"/>
      <c r="R20" s="209"/>
      <c r="S20" s="290"/>
      <c r="T20" s="136">
        <f t="shared" si="1"/>
        <v>474.6</v>
      </c>
      <c r="U20" s="136">
        <f t="shared" si="1"/>
        <v>5</v>
      </c>
      <c r="V20" s="136">
        <f t="shared" si="1"/>
        <v>0</v>
      </c>
      <c r="W20" s="122">
        <f t="shared" si="2"/>
        <v>3</v>
      </c>
    </row>
    <row r="21" spans="2:23" hidden="1">
      <c r="B21" s="51"/>
      <c r="C21" s="48"/>
      <c r="D21" s="136"/>
      <c r="E21" s="137"/>
      <c r="F21" s="138"/>
      <c r="G21" s="290"/>
      <c r="H21" s="136"/>
      <c r="I21" s="137"/>
      <c r="J21" s="138"/>
      <c r="K21" s="290"/>
      <c r="L21" s="136"/>
      <c r="M21" s="137"/>
      <c r="N21" s="138"/>
      <c r="O21" s="290"/>
      <c r="P21" s="136"/>
      <c r="Q21" s="137"/>
      <c r="R21" s="138"/>
      <c r="S21" s="290"/>
      <c r="T21" s="136"/>
      <c r="U21" s="137"/>
      <c r="V21" s="138"/>
      <c r="W21" s="122">
        <f t="shared" si="2"/>
        <v>0</v>
      </c>
    </row>
    <row r="22" spans="2:23">
      <c r="B22" s="53" t="s">
        <v>56</v>
      </c>
      <c r="C22" s="54" t="s">
        <v>57</v>
      </c>
      <c r="D22" s="240">
        <f t="shared" ref="D22:J22" si="3">SUM(D23:D35)</f>
        <v>3995</v>
      </c>
      <c r="E22" s="240">
        <f t="shared" si="3"/>
        <v>60</v>
      </c>
      <c r="F22" s="240">
        <f t="shared" si="3"/>
        <v>1</v>
      </c>
      <c r="G22" s="240">
        <f t="shared" si="3"/>
        <v>41</v>
      </c>
      <c r="H22" s="240">
        <f t="shared" si="3"/>
        <v>0</v>
      </c>
      <c r="I22" s="240">
        <f t="shared" si="3"/>
        <v>0</v>
      </c>
      <c r="J22" s="240">
        <f t="shared" si="3"/>
        <v>0</v>
      </c>
      <c r="K22" s="240"/>
      <c r="L22" s="240">
        <f>SUM(L23:L35)</f>
        <v>0</v>
      </c>
      <c r="M22" s="240">
        <f>SUM(M23:M35)</f>
        <v>0</v>
      </c>
      <c r="N22" s="240">
        <f>SUM(N23:N35)</f>
        <v>0</v>
      </c>
      <c r="O22" s="240"/>
      <c r="P22" s="240">
        <f>SUM(P23:P35)</f>
        <v>0</v>
      </c>
      <c r="Q22" s="240">
        <f>SUM(Q23:Q35)</f>
        <v>0</v>
      </c>
      <c r="R22" s="240">
        <f>SUM(R23:R35)</f>
        <v>0</v>
      </c>
      <c r="S22" s="240"/>
      <c r="T22" s="240">
        <f t="shared" ref="T22:V22" si="4">SUM(T23:T35)</f>
        <v>3995</v>
      </c>
      <c r="U22" s="241">
        <f t="shared" si="4"/>
        <v>60</v>
      </c>
      <c r="V22" s="242">
        <f t="shared" si="4"/>
        <v>1</v>
      </c>
      <c r="W22" s="122">
        <f t="shared" si="2"/>
        <v>41</v>
      </c>
    </row>
    <row r="23" spans="2:23" ht="22.5" customHeight="1">
      <c r="B23" s="51">
        <v>6</v>
      </c>
      <c r="C23" s="48" t="s">
        <v>58</v>
      </c>
      <c r="D23" s="210">
        <v>3159.7</v>
      </c>
      <c r="E23" s="208">
        <v>35</v>
      </c>
      <c r="F23" s="209">
        <v>1</v>
      </c>
      <c r="G23" s="292">
        <v>37</v>
      </c>
      <c r="H23" s="207"/>
      <c r="I23" s="208"/>
      <c r="J23" s="209"/>
      <c r="K23" s="292"/>
      <c r="L23" s="207"/>
      <c r="M23" s="208"/>
      <c r="N23" s="209"/>
      <c r="O23" s="293"/>
      <c r="P23" s="210"/>
      <c r="Q23" s="208"/>
      <c r="R23" s="209"/>
      <c r="S23" s="290"/>
      <c r="T23" s="136">
        <f t="shared" ref="T23:T35" si="5">+D23+H23+L23+P23</f>
        <v>3159.7</v>
      </c>
      <c r="U23" s="136">
        <f>+E23+I23+M23+Q23</f>
        <v>35</v>
      </c>
      <c r="V23" s="136">
        <f>+F23+J23+N23+R23</f>
        <v>1</v>
      </c>
      <c r="W23" s="122">
        <f t="shared" si="2"/>
        <v>37</v>
      </c>
    </row>
    <row r="24" spans="2:23">
      <c r="B24" s="51">
        <v>7</v>
      </c>
      <c r="C24" s="48" t="s">
        <v>59</v>
      </c>
      <c r="D24" s="210"/>
      <c r="E24" s="208"/>
      <c r="F24" s="209"/>
      <c r="G24" s="292"/>
      <c r="H24" s="207"/>
      <c r="I24" s="208"/>
      <c r="J24" s="209"/>
      <c r="K24" s="292"/>
      <c r="L24" s="207"/>
      <c r="M24" s="208"/>
      <c r="N24" s="209"/>
      <c r="O24" s="293"/>
      <c r="P24" s="210"/>
      <c r="Q24" s="208"/>
      <c r="R24" s="209"/>
      <c r="S24" s="290"/>
      <c r="T24" s="136">
        <f t="shared" si="5"/>
        <v>0</v>
      </c>
      <c r="U24" s="137">
        <f t="shared" ref="U24:U30" si="6">E24+I24+M24+Q24</f>
        <v>0</v>
      </c>
      <c r="V24" s="136">
        <f t="shared" ref="V24:V35" si="7">+F24+J24+N24+R24</f>
        <v>0</v>
      </c>
      <c r="W24" s="122">
        <f t="shared" si="2"/>
        <v>0</v>
      </c>
    </row>
    <row r="25" spans="2:23" ht="28.5">
      <c r="B25" s="51">
        <v>8</v>
      </c>
      <c r="C25" s="48" t="s">
        <v>60</v>
      </c>
      <c r="D25" s="136"/>
      <c r="E25" s="137"/>
      <c r="F25" s="138"/>
      <c r="G25" s="292"/>
      <c r="H25" s="207"/>
      <c r="I25" s="208"/>
      <c r="J25" s="209"/>
      <c r="K25" s="292"/>
      <c r="L25" s="207"/>
      <c r="M25" s="208"/>
      <c r="N25" s="209"/>
      <c r="O25" s="293"/>
      <c r="P25" s="210"/>
      <c r="Q25" s="208"/>
      <c r="R25" s="209"/>
      <c r="S25" s="290"/>
      <c r="T25" s="136">
        <f t="shared" si="5"/>
        <v>0</v>
      </c>
      <c r="U25" s="137">
        <f t="shared" si="6"/>
        <v>0</v>
      </c>
      <c r="V25" s="136">
        <f t="shared" si="7"/>
        <v>0</v>
      </c>
      <c r="W25" s="122">
        <f t="shared" si="2"/>
        <v>0</v>
      </c>
    </row>
    <row r="26" spans="2:23">
      <c r="B26" s="51">
        <v>9</v>
      </c>
      <c r="C26" s="48" t="s">
        <v>61</v>
      </c>
      <c r="D26" s="136"/>
      <c r="E26" s="137"/>
      <c r="F26" s="138"/>
      <c r="G26" s="292"/>
      <c r="H26" s="207"/>
      <c r="I26" s="208"/>
      <c r="J26" s="209"/>
      <c r="K26" s="292"/>
      <c r="L26" s="207"/>
      <c r="M26" s="208"/>
      <c r="N26" s="209"/>
      <c r="O26" s="293"/>
      <c r="P26" s="210"/>
      <c r="Q26" s="208"/>
      <c r="R26" s="209"/>
      <c r="S26" s="290"/>
      <c r="T26" s="136">
        <f t="shared" si="5"/>
        <v>0</v>
      </c>
      <c r="U26" s="137">
        <f t="shared" si="6"/>
        <v>0</v>
      </c>
      <c r="V26" s="136">
        <f t="shared" si="7"/>
        <v>0</v>
      </c>
      <c r="W26" s="122">
        <f t="shared" si="2"/>
        <v>0</v>
      </c>
    </row>
    <row r="27" spans="2:23">
      <c r="B27" s="51">
        <v>10</v>
      </c>
      <c r="C27" s="48" t="s">
        <v>62</v>
      </c>
      <c r="D27" s="210"/>
      <c r="E27" s="208"/>
      <c r="F27" s="209"/>
      <c r="G27" s="292"/>
      <c r="H27" s="207"/>
      <c r="I27" s="211"/>
      <c r="J27" s="209"/>
      <c r="K27" s="292"/>
      <c r="L27" s="207"/>
      <c r="M27" s="211"/>
      <c r="N27" s="209"/>
      <c r="O27" s="293"/>
      <c r="P27" s="210"/>
      <c r="Q27" s="208"/>
      <c r="R27" s="209"/>
      <c r="S27" s="290"/>
      <c r="T27" s="136">
        <f t="shared" si="5"/>
        <v>0</v>
      </c>
      <c r="U27" s="137">
        <f t="shared" si="6"/>
        <v>0</v>
      </c>
      <c r="V27" s="136">
        <f t="shared" si="7"/>
        <v>0</v>
      </c>
      <c r="W27" s="122">
        <f t="shared" si="2"/>
        <v>0</v>
      </c>
    </row>
    <row r="28" spans="2:23">
      <c r="B28" s="51">
        <v>11</v>
      </c>
      <c r="C28" s="48" t="s">
        <v>63</v>
      </c>
      <c r="D28" s="210">
        <v>790.3</v>
      </c>
      <c r="E28" s="208">
        <v>0</v>
      </c>
      <c r="F28" s="209">
        <v>0</v>
      </c>
      <c r="G28" s="292">
        <v>3</v>
      </c>
      <c r="H28" s="207"/>
      <c r="I28" s="208"/>
      <c r="J28" s="209"/>
      <c r="K28" s="292"/>
      <c r="L28" s="207"/>
      <c r="M28" s="208"/>
      <c r="N28" s="209"/>
      <c r="O28" s="293"/>
      <c r="P28" s="210"/>
      <c r="Q28" s="208"/>
      <c r="R28" s="209"/>
      <c r="S28" s="290"/>
      <c r="T28" s="136">
        <f t="shared" si="5"/>
        <v>790.3</v>
      </c>
      <c r="U28" s="137">
        <f t="shared" si="6"/>
        <v>0</v>
      </c>
      <c r="V28" s="136">
        <f t="shared" si="7"/>
        <v>0</v>
      </c>
      <c r="W28" s="122">
        <f t="shared" si="2"/>
        <v>3</v>
      </c>
    </row>
    <row r="29" spans="2:23">
      <c r="B29" s="51">
        <v>12</v>
      </c>
      <c r="C29" s="48" t="s">
        <v>64</v>
      </c>
      <c r="D29" s="210">
        <v>45</v>
      </c>
      <c r="E29" s="208">
        <v>25</v>
      </c>
      <c r="F29" s="209">
        <v>0</v>
      </c>
      <c r="G29" s="292">
        <v>1</v>
      </c>
      <c r="H29" s="207"/>
      <c r="I29" s="208"/>
      <c r="J29" s="209"/>
      <c r="K29" s="292"/>
      <c r="L29" s="207"/>
      <c r="M29" s="208"/>
      <c r="N29" s="209"/>
      <c r="O29" s="293"/>
      <c r="P29" s="210"/>
      <c r="Q29" s="208"/>
      <c r="R29" s="209"/>
      <c r="S29" s="290"/>
      <c r="T29" s="136">
        <f t="shared" si="5"/>
        <v>45</v>
      </c>
      <c r="U29" s="137">
        <f t="shared" si="6"/>
        <v>25</v>
      </c>
      <c r="V29" s="136">
        <f t="shared" si="7"/>
        <v>0</v>
      </c>
      <c r="W29" s="122">
        <f t="shared" si="2"/>
        <v>1</v>
      </c>
    </row>
    <row r="30" spans="2:23" ht="29.1" customHeight="1">
      <c r="B30" s="51">
        <v>13</v>
      </c>
      <c r="C30" s="48" t="s">
        <v>65</v>
      </c>
      <c r="D30" s="210"/>
      <c r="E30" s="208"/>
      <c r="F30" s="209"/>
      <c r="G30" s="292"/>
      <c r="H30" s="207"/>
      <c r="I30" s="208"/>
      <c r="J30" s="209"/>
      <c r="K30" s="292"/>
      <c r="L30" s="207"/>
      <c r="M30" s="208"/>
      <c r="N30" s="209"/>
      <c r="O30" s="293"/>
      <c r="P30" s="210"/>
      <c r="Q30" s="208"/>
      <c r="R30" s="209"/>
      <c r="S30" s="290"/>
      <c r="T30" s="136">
        <f t="shared" si="5"/>
        <v>0</v>
      </c>
      <c r="U30" s="137">
        <f t="shared" si="6"/>
        <v>0</v>
      </c>
      <c r="V30" s="136">
        <f t="shared" si="7"/>
        <v>0</v>
      </c>
      <c r="W30" s="122">
        <f t="shared" si="2"/>
        <v>0</v>
      </c>
    </row>
    <row r="31" spans="2:23" ht="42" customHeight="1">
      <c r="B31" s="51"/>
      <c r="C31" s="48" t="s">
        <v>66</v>
      </c>
      <c r="D31" s="210"/>
      <c r="E31" s="208"/>
      <c r="F31" s="209"/>
      <c r="G31" s="292"/>
      <c r="H31" s="207"/>
      <c r="I31" s="208"/>
      <c r="J31" s="209"/>
      <c r="K31" s="292"/>
      <c r="L31" s="207"/>
      <c r="M31" s="208"/>
      <c r="N31" s="209"/>
      <c r="O31" s="293"/>
      <c r="P31" s="210"/>
      <c r="Q31" s="208"/>
      <c r="R31" s="209"/>
      <c r="S31" s="290"/>
      <c r="T31" s="136">
        <f t="shared" si="5"/>
        <v>0</v>
      </c>
      <c r="U31" s="137"/>
      <c r="V31" s="136">
        <f t="shared" si="7"/>
        <v>0</v>
      </c>
      <c r="W31" s="122">
        <f t="shared" si="2"/>
        <v>0</v>
      </c>
    </row>
    <row r="32" spans="2:23" ht="39" customHeight="1">
      <c r="B32" s="51">
        <v>14</v>
      </c>
      <c r="C32" s="48" t="s">
        <v>67</v>
      </c>
      <c r="D32" s="136"/>
      <c r="E32" s="137"/>
      <c r="F32" s="138"/>
      <c r="G32" s="293"/>
      <c r="H32" s="210"/>
      <c r="I32" s="208"/>
      <c r="J32" s="209"/>
      <c r="K32" s="293"/>
      <c r="L32" s="210"/>
      <c r="M32" s="208"/>
      <c r="N32" s="209"/>
      <c r="O32" s="293"/>
      <c r="P32" s="210"/>
      <c r="Q32" s="208"/>
      <c r="R32" s="209"/>
      <c r="S32" s="290"/>
      <c r="T32" s="136">
        <f t="shared" si="5"/>
        <v>0</v>
      </c>
      <c r="U32" s="137">
        <f>E32+I32+M32+Q32</f>
        <v>0</v>
      </c>
      <c r="V32" s="136">
        <f t="shared" si="7"/>
        <v>0</v>
      </c>
      <c r="W32" s="122">
        <f t="shared" si="2"/>
        <v>0</v>
      </c>
    </row>
    <row r="33" spans="1:26" ht="34.5" customHeight="1">
      <c r="B33" s="51">
        <v>15</v>
      </c>
      <c r="C33" s="48" t="s">
        <v>68</v>
      </c>
      <c r="D33" s="208"/>
      <c r="E33" s="208"/>
      <c r="F33" s="208"/>
      <c r="G33" s="208"/>
      <c r="H33" s="208"/>
      <c r="I33" s="208"/>
      <c r="J33" s="208"/>
      <c r="K33" s="295"/>
      <c r="L33" s="210"/>
      <c r="M33" s="208"/>
      <c r="N33" s="209"/>
      <c r="O33" s="293"/>
      <c r="P33" s="210"/>
      <c r="Q33" s="208"/>
      <c r="R33" s="209"/>
      <c r="S33" s="290"/>
      <c r="T33" s="136">
        <f t="shared" si="5"/>
        <v>0</v>
      </c>
      <c r="U33" s="137">
        <f>E33+I33+M33+Q33</f>
        <v>0</v>
      </c>
      <c r="V33" s="136">
        <f t="shared" si="7"/>
        <v>0</v>
      </c>
      <c r="W33" s="122">
        <f t="shared" si="2"/>
        <v>0</v>
      </c>
    </row>
    <row r="34" spans="1:26" ht="30.75" customHeight="1">
      <c r="B34" s="51">
        <v>16</v>
      </c>
      <c r="C34" s="48" t="s">
        <v>69</v>
      </c>
      <c r="D34" s="208"/>
      <c r="E34" s="208"/>
      <c r="F34" s="208"/>
      <c r="G34" s="208"/>
      <c r="H34" s="208"/>
      <c r="I34" s="208"/>
      <c r="J34" s="208"/>
      <c r="K34" s="295"/>
      <c r="L34" s="210"/>
      <c r="M34" s="208"/>
      <c r="N34" s="209"/>
      <c r="O34" s="293"/>
      <c r="P34" s="210"/>
      <c r="Q34" s="208"/>
      <c r="R34" s="209"/>
      <c r="S34" s="290"/>
      <c r="T34" s="136">
        <f t="shared" si="5"/>
        <v>0</v>
      </c>
      <c r="U34" s="299">
        <f>E34+I34+M34+Q34</f>
        <v>0</v>
      </c>
      <c r="V34" s="136">
        <f t="shared" si="7"/>
        <v>0</v>
      </c>
      <c r="W34" s="122">
        <f t="shared" si="2"/>
        <v>0</v>
      </c>
    </row>
    <row r="35" spans="1:26">
      <c r="B35" s="51">
        <v>17</v>
      </c>
      <c r="C35" s="48" t="s">
        <v>70</v>
      </c>
      <c r="D35" s="208"/>
      <c r="E35" s="208"/>
      <c r="F35" s="208"/>
      <c r="G35" s="208"/>
      <c r="H35" s="208"/>
      <c r="I35" s="208"/>
      <c r="J35" s="208"/>
      <c r="K35" s="296"/>
      <c r="L35" s="212"/>
      <c r="M35" s="213"/>
      <c r="N35" s="138"/>
      <c r="O35" s="290"/>
      <c r="P35" s="136"/>
      <c r="Q35" s="137"/>
      <c r="R35" s="138"/>
      <c r="S35" s="290"/>
      <c r="T35" s="136">
        <f t="shared" si="5"/>
        <v>0</v>
      </c>
      <c r="U35" s="137">
        <f>E35+I35+M35+Q35</f>
        <v>0</v>
      </c>
      <c r="V35" s="136">
        <f t="shared" si="7"/>
        <v>0</v>
      </c>
      <c r="W35" s="122">
        <f t="shared" si="2"/>
        <v>0</v>
      </c>
    </row>
    <row r="36" spans="1:26" ht="0.75" customHeight="1">
      <c r="B36" s="51"/>
      <c r="C36" s="48"/>
      <c r="D36" s="136"/>
      <c r="E36" s="137"/>
      <c r="F36" s="138"/>
      <c r="G36" s="290"/>
      <c r="H36" s="136"/>
      <c r="I36" s="137"/>
      <c r="J36" s="138"/>
      <c r="K36" s="290"/>
      <c r="L36" s="136"/>
      <c r="M36" s="137"/>
      <c r="N36" s="138"/>
      <c r="O36" s="290"/>
      <c r="P36" s="136"/>
      <c r="Q36" s="137"/>
      <c r="R36" s="138"/>
      <c r="S36" s="290"/>
      <c r="T36" s="136"/>
      <c r="U36" s="137"/>
      <c r="V36" s="138"/>
      <c r="W36" s="122">
        <f t="shared" si="2"/>
        <v>0</v>
      </c>
    </row>
    <row r="37" spans="1:26">
      <c r="B37" s="53" t="s">
        <v>71</v>
      </c>
      <c r="C37" s="54" t="s">
        <v>72</v>
      </c>
      <c r="D37" s="240">
        <f t="shared" ref="D37:J37" si="8">SUM(D38:D44)</f>
        <v>12054.699999999999</v>
      </c>
      <c r="E37" s="240">
        <f t="shared" si="8"/>
        <v>24</v>
      </c>
      <c r="F37" s="240">
        <f t="shared" si="8"/>
        <v>0</v>
      </c>
      <c r="G37" s="240">
        <f t="shared" si="8"/>
        <v>217</v>
      </c>
      <c r="H37" s="240">
        <f t="shared" si="8"/>
        <v>0</v>
      </c>
      <c r="I37" s="240">
        <f t="shared" si="8"/>
        <v>0</v>
      </c>
      <c r="J37" s="240">
        <f t="shared" si="8"/>
        <v>0</v>
      </c>
      <c r="K37" s="240"/>
      <c r="L37" s="240">
        <f>SUM(L38:L44)</f>
        <v>0</v>
      </c>
      <c r="M37" s="240">
        <f>SUM(M38:M44)</f>
        <v>0</v>
      </c>
      <c r="N37" s="240">
        <f>SUM(N38:N44)</f>
        <v>0</v>
      </c>
      <c r="O37" s="240"/>
      <c r="P37" s="240">
        <f>SUM(P38:P44)</f>
        <v>0</v>
      </c>
      <c r="Q37" s="240">
        <f>SUM(Q38:Q44)</f>
        <v>0</v>
      </c>
      <c r="R37" s="240">
        <f>SUM(R38:R44)</f>
        <v>0</v>
      </c>
      <c r="S37" s="240"/>
      <c r="T37" s="240">
        <f>SUM(T38:T44)</f>
        <v>12054.699999999999</v>
      </c>
      <c r="U37" s="241">
        <f t="shared" ref="U37:V37" si="9">SUM(U38:U44)</f>
        <v>24</v>
      </c>
      <c r="V37" s="242">
        <f t="shared" si="9"/>
        <v>0</v>
      </c>
      <c r="W37" s="122">
        <f t="shared" si="2"/>
        <v>217</v>
      </c>
    </row>
    <row r="38" spans="1:26">
      <c r="A38" s="166"/>
      <c r="B38" s="51">
        <v>18</v>
      </c>
      <c r="C38" s="48" t="s">
        <v>73</v>
      </c>
      <c r="D38" s="136">
        <v>4108.8999999999996</v>
      </c>
      <c r="E38" s="137">
        <v>11</v>
      </c>
      <c r="F38" s="138">
        <v>0</v>
      </c>
      <c r="G38" s="294">
        <v>8</v>
      </c>
      <c r="H38" s="212"/>
      <c r="I38" s="213"/>
      <c r="J38" s="138"/>
      <c r="K38" s="294"/>
      <c r="L38" s="212"/>
      <c r="M38" s="213"/>
      <c r="N38" s="138"/>
      <c r="O38" s="290"/>
      <c r="P38" s="136"/>
      <c r="Q38" s="137"/>
      <c r="R38" s="138"/>
      <c r="S38" s="290"/>
      <c r="T38" s="136">
        <f>+D38+H38+L38+P38</f>
        <v>4108.8999999999996</v>
      </c>
      <c r="U38" s="136">
        <f>+E38+I38+M38+Q38</f>
        <v>11</v>
      </c>
      <c r="V38" s="136">
        <f>+F38+J38+N38+R38</f>
        <v>0</v>
      </c>
      <c r="W38" s="122">
        <f t="shared" si="2"/>
        <v>8</v>
      </c>
    </row>
    <row r="39" spans="1:26">
      <c r="A39" s="166"/>
      <c r="B39" s="51">
        <v>19</v>
      </c>
      <c r="C39" s="48" t="s">
        <v>74</v>
      </c>
      <c r="D39" s="136">
        <v>2087.5</v>
      </c>
      <c r="E39" s="137">
        <v>0</v>
      </c>
      <c r="F39" s="138">
        <v>0</v>
      </c>
      <c r="G39" s="294">
        <v>9</v>
      </c>
      <c r="H39" s="212"/>
      <c r="I39" s="213"/>
      <c r="J39" s="138"/>
      <c r="K39" s="294"/>
      <c r="L39" s="212"/>
      <c r="M39" s="213"/>
      <c r="N39" s="138"/>
      <c r="O39" s="290"/>
      <c r="P39" s="136"/>
      <c r="Q39" s="137"/>
      <c r="R39" s="138"/>
      <c r="S39" s="290"/>
      <c r="T39" s="136">
        <f t="shared" ref="T39:V45" si="10">+D39+H39+L39+P39</f>
        <v>2087.5</v>
      </c>
      <c r="U39" s="136">
        <f t="shared" si="10"/>
        <v>0</v>
      </c>
      <c r="V39" s="136">
        <f t="shared" si="10"/>
        <v>0</v>
      </c>
      <c r="W39" s="122">
        <f t="shared" si="2"/>
        <v>9</v>
      </c>
    </row>
    <row r="40" spans="1:26">
      <c r="A40" s="166"/>
      <c r="B40" s="51">
        <v>20</v>
      </c>
      <c r="C40" s="48" t="s">
        <v>75</v>
      </c>
      <c r="D40" s="136">
        <v>85.8</v>
      </c>
      <c r="E40" s="137">
        <v>1</v>
      </c>
      <c r="F40" s="138">
        <v>0</v>
      </c>
      <c r="G40" s="294">
        <v>36</v>
      </c>
      <c r="H40" s="212"/>
      <c r="I40" s="213"/>
      <c r="J40" s="138"/>
      <c r="K40" s="294"/>
      <c r="L40" s="212"/>
      <c r="M40" s="213"/>
      <c r="N40" s="138"/>
      <c r="O40" s="290"/>
      <c r="P40" s="136"/>
      <c r="Q40" s="137"/>
      <c r="R40" s="138"/>
      <c r="S40" s="290"/>
      <c r="T40" s="136">
        <f t="shared" si="10"/>
        <v>85.8</v>
      </c>
      <c r="U40" s="136">
        <f t="shared" si="10"/>
        <v>1</v>
      </c>
      <c r="V40" s="136">
        <f t="shared" si="10"/>
        <v>0</v>
      </c>
      <c r="W40" s="122">
        <f t="shared" si="2"/>
        <v>36</v>
      </c>
    </row>
    <row r="41" spans="1:26">
      <c r="A41" s="166"/>
      <c r="B41" s="51">
        <v>21</v>
      </c>
      <c r="C41" s="48" t="s">
        <v>76</v>
      </c>
      <c r="D41" s="136">
        <v>770</v>
      </c>
      <c r="E41" s="137">
        <v>2</v>
      </c>
      <c r="F41" s="138">
        <v>0</v>
      </c>
      <c r="G41" s="294">
        <v>43</v>
      </c>
      <c r="H41" s="212"/>
      <c r="I41" s="213"/>
      <c r="J41" s="138"/>
      <c r="K41" s="294"/>
      <c r="L41" s="212"/>
      <c r="M41" s="213"/>
      <c r="N41" s="138"/>
      <c r="O41" s="290"/>
      <c r="P41" s="136"/>
      <c r="Q41" s="137"/>
      <c r="R41" s="138"/>
      <c r="S41" s="290"/>
      <c r="T41" s="136">
        <f t="shared" si="10"/>
        <v>770</v>
      </c>
      <c r="U41" s="136">
        <f t="shared" si="10"/>
        <v>2</v>
      </c>
      <c r="V41" s="136">
        <f t="shared" si="10"/>
        <v>0</v>
      </c>
      <c r="W41" s="122">
        <f t="shared" si="2"/>
        <v>43</v>
      </c>
    </row>
    <row r="42" spans="1:26" ht="28.5">
      <c r="A42" s="166"/>
      <c r="B42" s="51">
        <v>22</v>
      </c>
      <c r="C42" s="48" t="s">
        <v>77</v>
      </c>
      <c r="D42" s="136">
        <v>3736.2</v>
      </c>
      <c r="E42" s="137">
        <v>3</v>
      </c>
      <c r="F42" s="138">
        <v>0</v>
      </c>
      <c r="G42" s="294">
        <v>17</v>
      </c>
      <c r="H42" s="212"/>
      <c r="I42" s="213"/>
      <c r="J42" s="138"/>
      <c r="K42" s="294"/>
      <c r="L42" s="212"/>
      <c r="M42" s="213"/>
      <c r="N42" s="138"/>
      <c r="O42" s="290"/>
      <c r="P42" s="136"/>
      <c r="Q42" s="137"/>
      <c r="R42" s="138"/>
      <c r="S42" s="290"/>
      <c r="T42" s="136">
        <f t="shared" si="10"/>
        <v>3736.2</v>
      </c>
      <c r="U42" s="136">
        <f t="shared" si="10"/>
        <v>3</v>
      </c>
      <c r="V42" s="136">
        <f t="shared" si="10"/>
        <v>0</v>
      </c>
      <c r="W42" s="122">
        <f t="shared" si="2"/>
        <v>17</v>
      </c>
      <c r="Z42">
        <f>232+1632</f>
        <v>1864</v>
      </c>
    </row>
    <row r="43" spans="1:26" ht="28.5">
      <c r="A43" s="166"/>
      <c r="B43" s="51">
        <v>23</v>
      </c>
      <c r="C43" s="48" t="s">
        <v>78</v>
      </c>
      <c r="D43" s="136">
        <v>917.5</v>
      </c>
      <c r="E43" s="137">
        <v>2</v>
      </c>
      <c r="F43" s="138">
        <v>0</v>
      </c>
      <c r="G43" s="290">
        <v>46</v>
      </c>
      <c r="H43" s="136"/>
      <c r="I43" s="137"/>
      <c r="J43" s="138"/>
      <c r="K43" s="294"/>
      <c r="L43" s="212"/>
      <c r="M43" s="213"/>
      <c r="N43" s="138"/>
      <c r="O43" s="290"/>
      <c r="P43" s="136"/>
      <c r="Q43" s="137"/>
      <c r="R43" s="138"/>
      <c r="S43" s="290"/>
      <c r="T43" s="136">
        <f t="shared" si="10"/>
        <v>917.5</v>
      </c>
      <c r="U43" s="136">
        <f t="shared" si="10"/>
        <v>2</v>
      </c>
      <c r="V43" s="136">
        <f t="shared" si="10"/>
        <v>0</v>
      </c>
      <c r="W43" s="122">
        <f t="shared" si="2"/>
        <v>46</v>
      </c>
    </row>
    <row r="44" spans="1:26">
      <c r="A44" s="166"/>
      <c r="B44" s="51">
        <v>24</v>
      </c>
      <c r="C44" s="48" t="s">
        <v>79</v>
      </c>
      <c r="D44" s="136">
        <v>348.8</v>
      </c>
      <c r="E44" s="137">
        <v>5</v>
      </c>
      <c r="F44" s="138">
        <v>0</v>
      </c>
      <c r="G44" s="290">
        <v>58</v>
      </c>
      <c r="H44" s="136"/>
      <c r="I44" s="137"/>
      <c r="J44" s="138"/>
      <c r="K44" s="294"/>
      <c r="L44" s="212"/>
      <c r="M44" s="213"/>
      <c r="N44" s="138"/>
      <c r="O44" s="290"/>
      <c r="P44" s="136"/>
      <c r="Q44" s="137"/>
      <c r="R44" s="138"/>
      <c r="S44" s="290"/>
      <c r="T44" s="136">
        <f t="shared" si="10"/>
        <v>348.8</v>
      </c>
      <c r="U44" s="136">
        <f t="shared" si="10"/>
        <v>5</v>
      </c>
      <c r="V44" s="136">
        <f t="shared" si="10"/>
        <v>0</v>
      </c>
      <c r="W44" s="122">
        <f t="shared" si="2"/>
        <v>58</v>
      </c>
    </row>
    <row r="45" spans="1:26">
      <c r="B45" s="51"/>
      <c r="C45" s="125"/>
      <c r="D45" s="136"/>
      <c r="E45" s="214"/>
      <c r="F45" s="215"/>
      <c r="G45" s="290"/>
      <c r="H45" s="136"/>
      <c r="I45" s="214"/>
      <c r="J45" s="215"/>
      <c r="K45" s="290"/>
      <c r="L45" s="136"/>
      <c r="M45" s="214"/>
      <c r="N45" s="215"/>
      <c r="O45" s="290"/>
      <c r="P45" s="136"/>
      <c r="Q45" s="214"/>
      <c r="R45" s="215"/>
      <c r="S45" s="290"/>
      <c r="T45" s="136">
        <f t="shared" si="10"/>
        <v>0</v>
      </c>
      <c r="U45" s="136">
        <f t="shared" si="10"/>
        <v>0</v>
      </c>
      <c r="V45" s="136">
        <f t="shared" si="10"/>
        <v>0</v>
      </c>
      <c r="W45" s="122">
        <f t="shared" si="2"/>
        <v>0</v>
      </c>
    </row>
    <row r="46" spans="1:26">
      <c r="B46" s="346" t="s">
        <v>80</v>
      </c>
      <c r="C46" s="347"/>
      <c r="D46" s="216">
        <f t="shared" ref="D46:J46" si="11">D37+D22+D16</f>
        <v>20214.3</v>
      </c>
      <c r="E46" s="216">
        <f t="shared" si="11"/>
        <v>285</v>
      </c>
      <c r="F46" s="216">
        <f t="shared" si="11"/>
        <v>1</v>
      </c>
      <c r="G46" s="216">
        <f t="shared" si="11"/>
        <v>282</v>
      </c>
      <c r="H46" s="216">
        <f t="shared" si="11"/>
        <v>0</v>
      </c>
      <c r="I46" s="216">
        <f t="shared" si="11"/>
        <v>0</v>
      </c>
      <c r="J46" s="216">
        <f t="shared" si="11"/>
        <v>0</v>
      </c>
      <c r="K46" s="216"/>
      <c r="L46" s="216">
        <f>L37+L22+L16</f>
        <v>0</v>
      </c>
      <c r="M46" s="216">
        <f>M37+M22+M16</f>
        <v>0</v>
      </c>
      <c r="N46" s="216">
        <f>N37+N22+N16</f>
        <v>0</v>
      </c>
      <c r="O46" s="216"/>
      <c r="P46" s="216">
        <f>P37+P22+P16</f>
        <v>0</v>
      </c>
      <c r="Q46" s="216">
        <f>Q37+Q22+Q16</f>
        <v>0</v>
      </c>
      <c r="R46" s="216">
        <f>R37+R22+R16</f>
        <v>0</v>
      </c>
      <c r="S46" s="216"/>
      <c r="T46" s="216">
        <f t="shared" ref="T46:W46" si="12">T37+T22+T16</f>
        <v>20214.3</v>
      </c>
      <c r="U46" s="216">
        <f t="shared" si="12"/>
        <v>285</v>
      </c>
      <c r="V46" s="216">
        <f t="shared" si="12"/>
        <v>1</v>
      </c>
      <c r="W46" s="216">
        <f t="shared" si="12"/>
        <v>282</v>
      </c>
      <c r="X46" s="280"/>
    </row>
    <row r="47" spans="1:26" hidden="1">
      <c r="K47" s="146"/>
      <c r="L47" s="150">
        <v>868732</v>
      </c>
      <c r="O47" s="297"/>
      <c r="P47" s="219">
        <v>673435</v>
      </c>
    </row>
    <row r="48" spans="1:26" hidden="1"/>
    <row r="49" spans="3:20">
      <c r="C49" t="s">
        <v>180</v>
      </c>
      <c r="D49" s="334">
        <f>+D46*15000</f>
        <v>303214500</v>
      </c>
      <c r="O49" s="6"/>
      <c r="P49" s="6"/>
      <c r="S49" s="280"/>
      <c r="T49" s="280">
        <f>+D46-T46</f>
        <v>0</v>
      </c>
    </row>
    <row r="50" spans="3:20">
      <c r="O50" s="280"/>
      <c r="P50" s="280"/>
      <c r="Q50" s="280"/>
    </row>
    <row r="51" spans="3:20">
      <c r="S51" s="162"/>
      <c r="T51" s="162"/>
    </row>
    <row r="52" spans="3:20">
      <c r="S52" s="163"/>
      <c r="T52" s="163"/>
    </row>
    <row r="54" spans="3:20">
      <c r="S54" s="221"/>
      <c r="T54" s="221"/>
    </row>
  </sheetData>
  <mergeCells count="23">
    <mergeCell ref="B6:W6"/>
    <mergeCell ref="B7:W7"/>
    <mergeCell ref="B8:W8"/>
    <mergeCell ref="B9:W9"/>
    <mergeCell ref="B12:B14"/>
    <mergeCell ref="C12:C14"/>
    <mergeCell ref="D12:F12"/>
    <mergeCell ref="H12:J12"/>
    <mergeCell ref="L12:N12"/>
    <mergeCell ref="P12:R12"/>
    <mergeCell ref="W13:W14"/>
    <mergeCell ref="X13:X14"/>
    <mergeCell ref="B46:C46"/>
    <mergeCell ref="T12:V12"/>
    <mergeCell ref="E13:F13"/>
    <mergeCell ref="G13:G14"/>
    <mergeCell ref="I13:J13"/>
    <mergeCell ref="K13:K14"/>
    <mergeCell ref="M13:N13"/>
    <mergeCell ref="O13:O14"/>
    <mergeCell ref="Q13:R13"/>
    <mergeCell ref="S13:S14"/>
    <mergeCell ref="U13:V13"/>
  </mergeCells>
  <printOptions horizontalCentered="1"/>
  <pageMargins left="1.1041666670000001" right="0.35416666666666702" top="0.98402777777777795" bottom="0.98402777777777795" header="0.51180555555555596" footer="0.51180555555555596"/>
  <pageSetup paperSize="9" scale="79" orientation="portrait" r:id="rId1"/>
  <rowBreaks count="1" manualBreakCount="1">
    <brk id="46" max="26" man="1"/>
  </rowBreaks>
  <colBreaks count="1" manualBreakCount="1">
    <brk id="20" max="45" man="1"/>
  </colBreaks>
  <drawing r:id="rId2"/>
  <legacyDrawing r:id="rId3"/>
  <oleObjects>
    <mc:AlternateContent xmlns:mc="http://schemas.openxmlformats.org/markup-compatibility/2006">
      <mc:Choice Requires="x14">
        <oleObject progId="PBrush" shapeId="15361" r:id="rId4">
          <objectPr defaultSize="0" autoPict="0" altText="" r:id="rId5">
            <anchor moveWithCells="1" sizeWithCells="1">
              <from>
                <xdr:col>9</xdr:col>
                <xdr:colOff>600075</xdr:colOff>
                <xdr:row>0</xdr:row>
                <xdr:rowOff>152400</xdr:rowOff>
              </from>
              <to>
                <xdr:col>11</xdr:col>
                <xdr:colOff>790575</xdr:colOff>
                <xdr:row>5</xdr:row>
                <xdr:rowOff>9525</xdr:rowOff>
              </to>
            </anchor>
          </objectPr>
        </oleObject>
      </mc:Choice>
      <mc:Fallback>
        <oleObject progId="PBrush" shapeId="15361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7:X57"/>
  <sheetViews>
    <sheetView view="pageBreakPreview" topLeftCell="H42" zoomScale="86" zoomScaleNormal="100" workbookViewId="0">
      <selection activeCell="L56" sqref="L56"/>
    </sheetView>
  </sheetViews>
  <sheetFormatPr defaultColWidth="9.140625" defaultRowHeight="15"/>
  <cols>
    <col min="1" max="1" width="0.140625" customWidth="1"/>
    <col min="2" max="2" width="5.85546875" customWidth="1"/>
    <col min="3" max="3" width="20.42578125" customWidth="1"/>
    <col min="4" max="4" width="18.28515625" style="339" customWidth="1"/>
    <col min="5" max="5" width="11.85546875" customWidth="1"/>
    <col min="6" max="6" width="9.5703125" customWidth="1"/>
    <col min="7" max="7" width="11.28515625" customWidth="1"/>
    <col min="8" max="8" width="18.28515625" customWidth="1"/>
    <col min="9" max="9" width="12.42578125" customWidth="1"/>
    <col min="10" max="11" width="8.140625" customWidth="1"/>
    <col min="12" max="12" width="18.85546875" customWidth="1"/>
    <col min="13" max="13" width="15.85546875" customWidth="1"/>
    <col min="14" max="15" width="16.42578125" customWidth="1"/>
    <col min="16" max="16" width="15.42578125" customWidth="1"/>
    <col min="17" max="19" width="10.140625" customWidth="1"/>
    <col min="20" max="20" width="20" customWidth="1"/>
    <col min="21" max="22" width="12.28515625" customWidth="1"/>
    <col min="23" max="23" width="11.140625" customWidth="1"/>
    <col min="24" max="24" width="9.140625" customWidth="1"/>
  </cols>
  <sheetData>
    <row r="7" spans="2:24" ht="18">
      <c r="B7" s="354" t="s">
        <v>33</v>
      </c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4"/>
      <c r="X7" s="354"/>
    </row>
    <row r="8" spans="2:24" ht="18">
      <c r="B8" s="354" t="s">
        <v>34</v>
      </c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354"/>
      <c r="X8" s="354"/>
    </row>
    <row r="9" spans="2:24" ht="15" customHeight="1">
      <c r="B9" s="354" t="s">
        <v>118</v>
      </c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</row>
    <row r="10" spans="2:24" ht="15" customHeight="1">
      <c r="B10" s="354" t="s">
        <v>36</v>
      </c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  <c r="V10" s="354"/>
      <c r="W10" s="354"/>
      <c r="X10" s="354"/>
    </row>
    <row r="11" spans="2:24">
      <c r="B11" s="222"/>
      <c r="C11" s="222"/>
      <c r="D11" s="335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</row>
    <row r="12" spans="2:24">
      <c r="B12" s="355" t="s">
        <v>82</v>
      </c>
      <c r="C12" s="355" t="s">
        <v>83</v>
      </c>
      <c r="D12" s="355" t="s">
        <v>39</v>
      </c>
      <c r="E12" s="355"/>
      <c r="F12" s="355"/>
      <c r="G12" s="37"/>
      <c r="H12" s="355" t="s">
        <v>40</v>
      </c>
      <c r="I12" s="355"/>
      <c r="J12" s="355"/>
      <c r="K12" s="37"/>
      <c r="L12" s="355" t="s">
        <v>41</v>
      </c>
      <c r="M12" s="355"/>
      <c r="N12" s="355"/>
      <c r="O12" s="37"/>
      <c r="P12" s="355" t="s">
        <v>42</v>
      </c>
      <c r="Q12" s="355"/>
      <c r="R12" s="355"/>
      <c r="S12" s="37"/>
      <c r="T12" s="355" t="s">
        <v>43</v>
      </c>
      <c r="U12" s="355"/>
      <c r="V12" s="355"/>
      <c r="W12" s="355"/>
    </row>
    <row r="13" spans="2:24" ht="15" customHeight="1">
      <c r="B13" s="355"/>
      <c r="C13" s="355"/>
      <c r="D13" s="366" t="s">
        <v>115</v>
      </c>
      <c r="E13" s="355" t="s">
        <v>45</v>
      </c>
      <c r="F13" s="355"/>
      <c r="G13" s="350" t="s">
        <v>46</v>
      </c>
      <c r="H13" s="361" t="s">
        <v>115</v>
      </c>
      <c r="I13" s="355" t="s">
        <v>45</v>
      </c>
      <c r="J13" s="355"/>
      <c r="K13" s="350" t="s">
        <v>46</v>
      </c>
      <c r="L13" s="361" t="s">
        <v>115</v>
      </c>
      <c r="M13" s="355" t="s">
        <v>45</v>
      </c>
      <c r="N13" s="355"/>
      <c r="O13" s="350" t="s">
        <v>46</v>
      </c>
      <c r="P13" s="361" t="s">
        <v>119</v>
      </c>
      <c r="Q13" s="355" t="s">
        <v>45</v>
      </c>
      <c r="R13" s="355"/>
      <c r="S13" s="350" t="s">
        <v>46</v>
      </c>
      <c r="T13" s="361" t="s">
        <v>115</v>
      </c>
      <c r="U13" s="356" t="s">
        <v>45</v>
      </c>
      <c r="V13" s="364"/>
      <c r="W13" s="350" t="s">
        <v>46</v>
      </c>
    </row>
    <row r="14" spans="2:24" ht="27.75" customHeight="1">
      <c r="B14" s="355"/>
      <c r="C14" s="355"/>
      <c r="D14" s="366"/>
      <c r="E14" s="248" t="s">
        <v>48</v>
      </c>
      <c r="F14" s="248" t="s">
        <v>49</v>
      </c>
      <c r="G14" s="351"/>
      <c r="H14" s="361"/>
      <c r="I14" s="248" t="s">
        <v>85</v>
      </c>
      <c r="J14" s="248" t="s">
        <v>49</v>
      </c>
      <c r="K14" s="351"/>
      <c r="L14" s="361"/>
      <c r="M14" s="37" t="s">
        <v>85</v>
      </c>
      <c r="N14" s="37" t="s">
        <v>49</v>
      </c>
      <c r="O14" s="351"/>
      <c r="P14" s="361"/>
      <c r="Q14" s="248" t="s">
        <v>85</v>
      </c>
      <c r="R14" s="248" t="s">
        <v>49</v>
      </c>
      <c r="S14" s="351"/>
      <c r="T14" s="361"/>
      <c r="U14" s="248" t="s">
        <v>85</v>
      </c>
      <c r="V14" s="248" t="s">
        <v>49</v>
      </c>
      <c r="W14" s="351"/>
    </row>
    <row r="15" spans="2:24">
      <c r="B15" s="29"/>
      <c r="C15" s="29"/>
      <c r="D15" s="336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spans="2:24" ht="30" customHeight="1">
      <c r="B16" s="29"/>
      <c r="C16" s="223"/>
      <c r="D16" s="336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</row>
    <row r="17" spans="2:23" ht="30" customHeight="1">
      <c r="B17" s="225">
        <v>1</v>
      </c>
      <c r="C17" s="249" t="s">
        <v>120</v>
      </c>
      <c r="D17" s="337">
        <v>0</v>
      </c>
      <c r="E17" s="250">
        <v>5</v>
      </c>
      <c r="F17" s="250">
        <v>0</v>
      </c>
      <c r="G17" s="250">
        <v>73</v>
      </c>
      <c r="H17" s="251"/>
      <c r="I17" s="252"/>
      <c r="J17" s="252"/>
      <c r="K17" s="252"/>
      <c r="L17" s="18"/>
      <c r="M17" s="19"/>
      <c r="N17" s="19"/>
      <c r="O17" s="19"/>
      <c r="P17" s="19"/>
      <c r="Q17" s="19"/>
      <c r="R17" s="10"/>
      <c r="S17" s="10"/>
      <c r="T17" s="19">
        <f t="shared" ref="T17:T37" si="0">D17+H17+L17+P17</f>
        <v>0</v>
      </c>
      <c r="U17" s="232">
        <f t="shared" ref="U17:V37" si="1">E17+I17+M17+Q17</f>
        <v>5</v>
      </c>
      <c r="V17" s="232">
        <f t="shared" si="1"/>
        <v>0</v>
      </c>
      <c r="W17" s="402">
        <f>+S17+O17+K17+G17</f>
        <v>73</v>
      </c>
    </row>
    <row r="18" spans="2:23" ht="30" customHeight="1">
      <c r="B18" s="225">
        <v>2</v>
      </c>
      <c r="C18" s="249" t="s">
        <v>121</v>
      </c>
      <c r="D18" s="337">
        <v>31.8</v>
      </c>
      <c r="E18" s="250">
        <v>0</v>
      </c>
      <c r="F18" s="250">
        <v>0</v>
      </c>
      <c r="G18" s="250">
        <v>5</v>
      </c>
      <c r="H18" s="251"/>
      <c r="I18" s="253"/>
      <c r="J18" s="253"/>
      <c r="K18" s="253"/>
      <c r="L18" s="18"/>
      <c r="M18" s="19"/>
      <c r="N18" s="19"/>
      <c r="O18" s="19"/>
      <c r="P18" s="19"/>
      <c r="Q18" s="19"/>
      <c r="R18" s="10"/>
      <c r="S18" s="10"/>
      <c r="T18" s="19">
        <f t="shared" si="0"/>
        <v>31.8</v>
      </c>
      <c r="U18" s="64">
        <f t="shared" si="1"/>
        <v>0</v>
      </c>
      <c r="V18" s="232">
        <f t="shared" si="1"/>
        <v>0</v>
      </c>
      <c r="W18" s="402">
        <f t="shared" ref="W18:W52" si="2">+S18+O18+K18+G18</f>
        <v>5</v>
      </c>
    </row>
    <row r="19" spans="2:23" ht="30" customHeight="1">
      <c r="B19" s="225">
        <v>3</v>
      </c>
      <c r="C19" s="249" t="s">
        <v>122</v>
      </c>
      <c r="D19" s="337">
        <v>12.6</v>
      </c>
      <c r="E19" s="250">
        <v>4</v>
      </c>
      <c r="F19" s="250">
        <v>0</v>
      </c>
      <c r="G19" s="250">
        <v>19</v>
      </c>
      <c r="H19" s="251"/>
      <c r="I19" s="253"/>
      <c r="J19" s="253"/>
      <c r="K19" s="253"/>
      <c r="L19" s="256"/>
      <c r="M19" s="19"/>
      <c r="N19" s="19"/>
      <c r="O19" s="19"/>
      <c r="P19" s="19"/>
      <c r="Q19" s="19"/>
      <c r="R19" s="10"/>
      <c r="S19" s="10"/>
      <c r="T19" s="19">
        <f t="shared" si="0"/>
        <v>12.6</v>
      </c>
      <c r="U19" s="64">
        <f t="shared" si="1"/>
        <v>4</v>
      </c>
      <c r="V19" s="232">
        <f t="shared" si="1"/>
        <v>0</v>
      </c>
      <c r="W19" s="402">
        <f t="shared" si="2"/>
        <v>19</v>
      </c>
    </row>
    <row r="20" spans="2:23" ht="30" customHeight="1">
      <c r="B20" s="225">
        <v>4</v>
      </c>
      <c r="C20" s="249" t="s">
        <v>123</v>
      </c>
      <c r="D20" s="337">
        <v>37.9</v>
      </c>
      <c r="E20" s="250">
        <v>0</v>
      </c>
      <c r="F20" s="250">
        <v>0</v>
      </c>
      <c r="G20" s="250">
        <v>14</v>
      </c>
      <c r="H20" s="251"/>
      <c r="I20" s="253"/>
      <c r="J20" s="253"/>
      <c r="K20" s="253"/>
      <c r="L20" s="18"/>
      <c r="M20" s="19"/>
      <c r="N20" s="19"/>
      <c r="O20" s="19"/>
      <c r="P20" s="19"/>
      <c r="Q20" s="19"/>
      <c r="R20" s="10"/>
      <c r="S20" s="10"/>
      <c r="T20" s="19">
        <f t="shared" si="0"/>
        <v>37.9</v>
      </c>
      <c r="U20" s="64">
        <f t="shared" si="1"/>
        <v>0</v>
      </c>
      <c r="V20" s="232">
        <f t="shared" si="1"/>
        <v>0</v>
      </c>
      <c r="W20" s="402">
        <f t="shared" si="2"/>
        <v>14</v>
      </c>
    </row>
    <row r="21" spans="2:23" ht="30" customHeight="1">
      <c r="B21" s="225">
        <v>5</v>
      </c>
      <c r="C21" s="249" t="s">
        <v>124</v>
      </c>
      <c r="D21" s="337"/>
      <c r="E21" s="250"/>
      <c r="F21" s="250"/>
      <c r="G21" s="250"/>
      <c r="H21" s="251"/>
      <c r="I21" s="253"/>
      <c r="J21" s="253"/>
      <c r="K21" s="253"/>
      <c r="L21" s="18"/>
      <c r="M21" s="19"/>
      <c r="N21" s="19"/>
      <c r="O21" s="19"/>
      <c r="P21" s="19"/>
      <c r="Q21" s="19"/>
      <c r="R21" s="10"/>
      <c r="S21" s="10"/>
      <c r="T21" s="19">
        <f t="shared" si="0"/>
        <v>0</v>
      </c>
      <c r="U21" s="64">
        <f t="shared" si="1"/>
        <v>0</v>
      </c>
      <c r="V21" s="232">
        <f t="shared" si="1"/>
        <v>0</v>
      </c>
      <c r="W21" s="402">
        <f t="shared" si="2"/>
        <v>0</v>
      </c>
    </row>
    <row r="22" spans="2:23" ht="30" customHeight="1">
      <c r="B22" s="225">
        <v>6</v>
      </c>
      <c r="C22" s="249" t="s">
        <v>125</v>
      </c>
      <c r="D22" s="337">
        <v>0</v>
      </c>
      <c r="E22" s="250">
        <v>0</v>
      </c>
      <c r="F22" s="250">
        <v>1</v>
      </c>
      <c r="G22" s="250">
        <v>4</v>
      </c>
      <c r="H22" s="251"/>
      <c r="I22" s="253"/>
      <c r="J22" s="253"/>
      <c r="K22" s="253"/>
      <c r="L22" s="18"/>
      <c r="M22" s="19"/>
      <c r="N22" s="19"/>
      <c r="O22" s="19"/>
      <c r="P22" s="19"/>
      <c r="Q22" s="19"/>
      <c r="R22" s="10"/>
      <c r="S22" s="10"/>
      <c r="T22" s="19">
        <f t="shared" si="0"/>
        <v>0</v>
      </c>
      <c r="U22" s="64">
        <f t="shared" si="1"/>
        <v>0</v>
      </c>
      <c r="V22" s="232">
        <f t="shared" si="1"/>
        <v>1</v>
      </c>
      <c r="W22" s="402">
        <f t="shared" si="2"/>
        <v>4</v>
      </c>
    </row>
    <row r="23" spans="2:23" ht="30" customHeight="1">
      <c r="B23" s="225">
        <v>7</v>
      </c>
      <c r="C23" s="249" t="s">
        <v>126</v>
      </c>
      <c r="D23" s="337">
        <v>738.6</v>
      </c>
      <c r="E23" s="250">
        <v>76</v>
      </c>
      <c r="F23" s="250">
        <v>0</v>
      </c>
      <c r="G23" s="250">
        <v>35</v>
      </c>
      <c r="H23" s="251"/>
      <c r="I23" s="253"/>
      <c r="J23" s="253"/>
      <c r="K23" s="253"/>
      <c r="L23" s="18"/>
      <c r="M23" s="19"/>
      <c r="N23" s="19"/>
      <c r="O23" s="19"/>
      <c r="P23" s="19"/>
      <c r="Q23" s="19"/>
      <c r="R23" s="10"/>
      <c r="S23" s="10"/>
      <c r="T23" s="19">
        <f t="shared" si="0"/>
        <v>738.6</v>
      </c>
      <c r="U23" s="64">
        <f t="shared" si="1"/>
        <v>76</v>
      </c>
      <c r="V23" s="232">
        <f t="shared" si="1"/>
        <v>0</v>
      </c>
      <c r="W23" s="402">
        <f t="shared" si="2"/>
        <v>35</v>
      </c>
    </row>
    <row r="24" spans="2:23" ht="30" customHeight="1">
      <c r="B24" s="225">
        <v>8</v>
      </c>
      <c r="C24" s="249" t="s">
        <v>127</v>
      </c>
      <c r="D24" s="337">
        <v>5.7</v>
      </c>
      <c r="E24" s="250">
        <v>0</v>
      </c>
      <c r="F24" s="250">
        <v>0</v>
      </c>
      <c r="G24" s="250">
        <v>1</v>
      </c>
      <c r="H24" s="251"/>
      <c r="I24" s="253"/>
      <c r="J24" s="253"/>
      <c r="K24" s="253"/>
      <c r="L24" s="18"/>
      <c r="M24" s="19"/>
      <c r="N24" s="19"/>
      <c r="O24" s="19"/>
      <c r="P24" s="19"/>
      <c r="Q24" s="19"/>
      <c r="R24" s="10"/>
      <c r="S24" s="10"/>
      <c r="T24" s="19">
        <f t="shared" si="0"/>
        <v>5.7</v>
      </c>
      <c r="U24" s="64">
        <f t="shared" si="1"/>
        <v>0</v>
      </c>
      <c r="V24" s="232">
        <f t="shared" si="1"/>
        <v>0</v>
      </c>
      <c r="W24" s="402">
        <f t="shared" si="2"/>
        <v>1</v>
      </c>
    </row>
    <row r="25" spans="2:23" ht="30" customHeight="1">
      <c r="B25" s="225">
        <v>9</v>
      </c>
      <c r="C25" s="249" t="s">
        <v>128</v>
      </c>
      <c r="D25" s="337">
        <v>19.600000000000001</v>
      </c>
      <c r="E25" s="250">
        <v>0</v>
      </c>
      <c r="F25" s="250">
        <v>0</v>
      </c>
      <c r="G25" s="250">
        <v>11</v>
      </c>
      <c r="H25" s="251"/>
      <c r="I25" s="253"/>
      <c r="J25" s="253"/>
      <c r="K25" s="253"/>
      <c r="L25" s="18"/>
      <c r="M25" s="19"/>
      <c r="N25" s="19"/>
      <c r="O25" s="19"/>
      <c r="P25" s="19"/>
      <c r="Q25" s="19"/>
      <c r="R25" s="10"/>
      <c r="S25" s="10"/>
      <c r="T25" s="19">
        <f t="shared" si="0"/>
        <v>19.600000000000001</v>
      </c>
      <c r="U25" s="64">
        <f t="shared" si="1"/>
        <v>0</v>
      </c>
      <c r="V25" s="232">
        <f t="shared" si="1"/>
        <v>0</v>
      </c>
      <c r="W25" s="402">
        <f t="shared" si="2"/>
        <v>11</v>
      </c>
    </row>
    <row r="26" spans="2:23" ht="30" customHeight="1">
      <c r="B26" s="225">
        <v>10</v>
      </c>
      <c r="C26" s="249" t="s">
        <v>129</v>
      </c>
      <c r="D26" s="337">
        <v>53.9</v>
      </c>
      <c r="E26" s="250">
        <v>0</v>
      </c>
      <c r="F26" s="250">
        <v>0</v>
      </c>
      <c r="G26" s="250">
        <v>13</v>
      </c>
      <c r="H26" s="251"/>
      <c r="I26" s="253"/>
      <c r="J26" s="253"/>
      <c r="K26" s="253"/>
      <c r="L26" s="18"/>
      <c r="M26" s="19"/>
      <c r="N26" s="19"/>
      <c r="O26" s="19"/>
      <c r="P26" s="19"/>
      <c r="Q26" s="19"/>
      <c r="R26" s="10"/>
      <c r="S26" s="10"/>
      <c r="T26" s="19">
        <f t="shared" si="0"/>
        <v>53.9</v>
      </c>
      <c r="U26" s="64">
        <f t="shared" si="1"/>
        <v>0</v>
      </c>
      <c r="V26" s="232">
        <f t="shared" si="1"/>
        <v>0</v>
      </c>
      <c r="W26" s="402">
        <f t="shared" si="2"/>
        <v>13</v>
      </c>
    </row>
    <row r="27" spans="2:23" ht="30" customHeight="1">
      <c r="B27" s="225">
        <v>11</v>
      </c>
      <c r="C27" s="249" t="s">
        <v>130</v>
      </c>
      <c r="D27" s="337"/>
      <c r="E27" s="250"/>
      <c r="F27" s="250"/>
      <c r="G27" s="250"/>
      <c r="H27" s="251"/>
      <c r="I27" s="253"/>
      <c r="J27" s="253"/>
      <c r="K27" s="253"/>
      <c r="L27" s="18"/>
      <c r="M27" s="19"/>
      <c r="N27" s="19"/>
      <c r="O27" s="19"/>
      <c r="P27" s="19"/>
      <c r="Q27" s="19"/>
      <c r="R27" s="10"/>
      <c r="S27" s="10"/>
      <c r="T27" s="19">
        <f t="shared" si="0"/>
        <v>0</v>
      </c>
      <c r="U27" s="64">
        <f t="shared" si="1"/>
        <v>0</v>
      </c>
      <c r="V27" s="232">
        <f t="shared" si="1"/>
        <v>0</v>
      </c>
      <c r="W27" s="402">
        <f t="shared" si="2"/>
        <v>0</v>
      </c>
    </row>
    <row r="28" spans="2:23" ht="30" customHeight="1">
      <c r="B28" s="225">
        <v>12</v>
      </c>
      <c r="C28" s="249" t="s">
        <v>131</v>
      </c>
      <c r="D28" s="337">
        <v>0</v>
      </c>
      <c r="E28" s="250">
        <v>0</v>
      </c>
      <c r="F28" s="250">
        <v>0</v>
      </c>
      <c r="G28" s="250">
        <v>5</v>
      </c>
      <c r="H28" s="251"/>
      <c r="I28" s="253"/>
      <c r="J28" s="253"/>
      <c r="K28" s="253"/>
      <c r="L28" s="18"/>
      <c r="M28" s="19"/>
      <c r="N28" s="19"/>
      <c r="O28" s="19"/>
      <c r="P28" s="19"/>
      <c r="Q28" s="19"/>
      <c r="R28" s="10"/>
      <c r="S28" s="10"/>
      <c r="T28" s="19">
        <f t="shared" si="0"/>
        <v>0</v>
      </c>
      <c r="U28" s="64">
        <f t="shared" si="1"/>
        <v>0</v>
      </c>
      <c r="V28" s="232">
        <f t="shared" si="1"/>
        <v>0</v>
      </c>
      <c r="W28" s="402">
        <f t="shared" si="2"/>
        <v>5</v>
      </c>
    </row>
    <row r="29" spans="2:23" ht="30" customHeight="1">
      <c r="B29" s="225">
        <v>13</v>
      </c>
      <c r="C29" s="249" t="s">
        <v>132</v>
      </c>
      <c r="D29" s="337">
        <v>8.5</v>
      </c>
      <c r="E29" s="250">
        <v>0</v>
      </c>
      <c r="F29" s="250">
        <v>0</v>
      </c>
      <c r="G29" s="250">
        <v>5</v>
      </c>
      <c r="H29" s="251"/>
      <c r="I29" s="253"/>
      <c r="J29" s="253"/>
      <c r="K29" s="253"/>
      <c r="L29" s="18"/>
      <c r="M29" s="19"/>
      <c r="N29" s="19"/>
      <c r="O29" s="19"/>
      <c r="P29" s="19"/>
      <c r="Q29" s="19"/>
      <c r="R29" s="10"/>
      <c r="S29" s="10"/>
      <c r="T29" s="19">
        <f t="shared" si="0"/>
        <v>8.5</v>
      </c>
      <c r="U29" s="64">
        <f t="shared" si="1"/>
        <v>0</v>
      </c>
      <c r="V29" s="232">
        <f t="shared" si="1"/>
        <v>0</v>
      </c>
      <c r="W29" s="402">
        <f t="shared" si="2"/>
        <v>5</v>
      </c>
    </row>
    <row r="30" spans="2:23" ht="30" customHeight="1">
      <c r="B30" s="225">
        <v>14</v>
      </c>
      <c r="C30" s="249" t="s">
        <v>133</v>
      </c>
      <c r="D30" s="337">
        <v>14991.5</v>
      </c>
      <c r="E30" s="250">
        <v>4</v>
      </c>
      <c r="F30" s="250">
        <v>0</v>
      </c>
      <c r="G30" s="250">
        <v>11</v>
      </c>
      <c r="H30" s="251"/>
      <c r="I30" s="253"/>
      <c r="J30" s="253"/>
      <c r="K30" s="253"/>
      <c r="L30" s="18"/>
      <c r="M30" s="19"/>
      <c r="N30" s="19"/>
      <c r="O30" s="19"/>
      <c r="P30" s="19"/>
      <c r="Q30" s="19"/>
      <c r="R30" s="10"/>
      <c r="S30" s="10"/>
      <c r="T30" s="19">
        <f t="shared" si="0"/>
        <v>14991.5</v>
      </c>
      <c r="U30" s="64">
        <f t="shared" si="1"/>
        <v>4</v>
      </c>
      <c r="V30" s="232">
        <f t="shared" si="1"/>
        <v>0</v>
      </c>
      <c r="W30" s="402">
        <f t="shared" si="2"/>
        <v>11</v>
      </c>
    </row>
    <row r="31" spans="2:23" ht="30" customHeight="1">
      <c r="B31" s="225">
        <v>15</v>
      </c>
      <c r="C31" s="249" t="s">
        <v>134</v>
      </c>
      <c r="D31" s="337">
        <v>5.2</v>
      </c>
      <c r="E31" s="250">
        <v>0</v>
      </c>
      <c r="F31" s="250">
        <v>0</v>
      </c>
      <c r="G31" s="250">
        <v>4</v>
      </c>
      <c r="H31" s="251"/>
      <c r="I31" s="253"/>
      <c r="J31" s="253"/>
      <c r="K31" s="253"/>
      <c r="L31" s="19"/>
      <c r="M31" s="19"/>
      <c r="N31" s="19"/>
      <c r="O31" s="19"/>
      <c r="P31" s="19"/>
      <c r="Q31" s="19"/>
      <c r="R31" s="10"/>
      <c r="S31" s="10"/>
      <c r="T31" s="19">
        <f t="shared" si="0"/>
        <v>5.2</v>
      </c>
      <c r="U31" s="64">
        <f t="shared" si="1"/>
        <v>0</v>
      </c>
      <c r="V31" s="232">
        <f t="shared" si="1"/>
        <v>0</v>
      </c>
      <c r="W31" s="402">
        <f t="shared" si="2"/>
        <v>4</v>
      </c>
    </row>
    <row r="32" spans="2:23" ht="30" customHeight="1">
      <c r="B32" s="225">
        <v>16</v>
      </c>
      <c r="C32" s="249" t="s">
        <v>135</v>
      </c>
      <c r="D32" s="337">
        <v>0</v>
      </c>
      <c r="E32" s="250">
        <v>0</v>
      </c>
      <c r="F32" s="250">
        <v>0</v>
      </c>
      <c r="G32" s="250">
        <v>12</v>
      </c>
      <c r="H32" s="251"/>
      <c r="I32" s="254"/>
      <c r="J32" s="254"/>
      <c r="K32" s="254"/>
      <c r="L32" s="257"/>
      <c r="M32" s="252"/>
      <c r="N32" s="252"/>
      <c r="O32" s="252"/>
      <c r="P32" s="19"/>
      <c r="Q32" s="19"/>
      <c r="R32" s="10"/>
      <c r="S32" s="10"/>
      <c r="T32" s="19">
        <f t="shared" si="0"/>
        <v>0</v>
      </c>
      <c r="U32" s="64">
        <f t="shared" si="1"/>
        <v>0</v>
      </c>
      <c r="V32" s="232">
        <f t="shared" si="1"/>
        <v>0</v>
      </c>
      <c r="W32" s="402">
        <f t="shared" si="2"/>
        <v>12</v>
      </c>
    </row>
    <row r="33" spans="2:23" ht="30" customHeight="1">
      <c r="B33" s="225">
        <v>17</v>
      </c>
      <c r="C33" s="249" t="s">
        <v>136</v>
      </c>
      <c r="D33" s="337">
        <v>4277</v>
      </c>
      <c r="E33" s="250">
        <v>196</v>
      </c>
      <c r="F33" s="250">
        <v>0</v>
      </c>
      <c r="G33" s="250">
        <v>22</v>
      </c>
      <c r="H33" s="251"/>
      <c r="I33" s="254"/>
      <c r="J33" s="254"/>
      <c r="K33" s="254"/>
      <c r="L33" s="257"/>
      <c r="M33" s="252"/>
      <c r="N33" s="252"/>
      <c r="O33" s="252"/>
      <c r="P33" s="19"/>
      <c r="Q33" s="19"/>
      <c r="R33" s="10"/>
      <c r="S33" s="10"/>
      <c r="T33" s="19">
        <f t="shared" si="0"/>
        <v>4277</v>
      </c>
      <c r="U33" s="64">
        <f t="shared" si="1"/>
        <v>196</v>
      </c>
      <c r="V33" s="232">
        <f t="shared" si="1"/>
        <v>0</v>
      </c>
      <c r="W33" s="402">
        <f t="shared" si="2"/>
        <v>22</v>
      </c>
    </row>
    <row r="34" spans="2:23" ht="30" customHeight="1">
      <c r="B34" s="225">
        <v>18</v>
      </c>
      <c r="C34" s="249" t="s">
        <v>137</v>
      </c>
      <c r="D34" s="337"/>
      <c r="E34" s="250"/>
      <c r="F34" s="250"/>
      <c r="G34" s="250"/>
      <c r="H34" s="251"/>
      <c r="I34" s="254"/>
      <c r="J34" s="254"/>
      <c r="K34" s="254"/>
      <c r="L34" s="257"/>
      <c r="M34" s="252"/>
      <c r="N34" s="252"/>
      <c r="O34" s="252"/>
      <c r="P34" s="19"/>
      <c r="Q34" s="19"/>
      <c r="R34" s="10"/>
      <c r="S34" s="10"/>
      <c r="T34" s="19">
        <f t="shared" si="0"/>
        <v>0</v>
      </c>
      <c r="U34" s="64">
        <f t="shared" si="1"/>
        <v>0</v>
      </c>
      <c r="V34" s="232">
        <f t="shared" si="1"/>
        <v>0</v>
      </c>
      <c r="W34" s="402">
        <f t="shared" si="2"/>
        <v>0</v>
      </c>
    </row>
    <row r="35" spans="2:23" ht="30" customHeight="1">
      <c r="B35" s="225">
        <v>19</v>
      </c>
      <c r="C35" s="249" t="s">
        <v>138</v>
      </c>
      <c r="D35" s="337">
        <v>0</v>
      </c>
      <c r="E35" s="250">
        <v>0</v>
      </c>
      <c r="F35" s="250">
        <v>0</v>
      </c>
      <c r="G35" s="250">
        <v>1</v>
      </c>
      <c r="H35" s="251"/>
      <c r="I35" s="254"/>
      <c r="J35" s="254"/>
      <c r="K35" s="254"/>
      <c r="L35" s="257"/>
      <c r="M35" s="252"/>
      <c r="N35" s="252"/>
      <c r="O35" s="252"/>
      <c r="P35" s="19"/>
      <c r="Q35" s="19"/>
      <c r="R35" s="10"/>
      <c r="S35" s="10"/>
      <c r="T35" s="19">
        <f t="shared" si="0"/>
        <v>0</v>
      </c>
      <c r="U35" s="64">
        <f t="shared" si="1"/>
        <v>0</v>
      </c>
      <c r="V35" s="232">
        <f t="shared" si="1"/>
        <v>0</v>
      </c>
      <c r="W35" s="402">
        <f t="shared" si="2"/>
        <v>1</v>
      </c>
    </row>
    <row r="36" spans="2:23" ht="30" customHeight="1">
      <c r="B36" s="225">
        <v>20</v>
      </c>
      <c r="C36" s="29" t="s">
        <v>139</v>
      </c>
      <c r="D36" s="336">
        <v>0.3</v>
      </c>
      <c r="E36" s="29">
        <v>0</v>
      </c>
      <c r="F36" s="29">
        <v>0</v>
      </c>
      <c r="G36" s="29">
        <v>3</v>
      </c>
      <c r="H36" s="251"/>
      <c r="I36" s="255"/>
      <c r="J36" s="255"/>
      <c r="K36" s="255"/>
      <c r="L36" s="258"/>
      <c r="M36" s="29"/>
      <c r="N36" s="29"/>
      <c r="O36" s="29"/>
      <c r="P36" s="10"/>
      <c r="Q36" s="10"/>
      <c r="R36" s="10"/>
      <c r="S36" s="10"/>
      <c r="T36" s="19">
        <f t="shared" si="0"/>
        <v>0.3</v>
      </c>
      <c r="U36" s="64">
        <f t="shared" si="1"/>
        <v>0</v>
      </c>
      <c r="V36" s="232">
        <f t="shared" si="1"/>
        <v>0</v>
      </c>
      <c r="W36" s="402">
        <f t="shared" si="2"/>
        <v>3</v>
      </c>
    </row>
    <row r="37" spans="2:23" ht="30" customHeight="1">
      <c r="B37" s="225">
        <v>21</v>
      </c>
      <c r="C37" s="29" t="s">
        <v>140</v>
      </c>
      <c r="D37" s="336"/>
      <c r="E37" s="29"/>
      <c r="F37" s="29"/>
      <c r="G37" s="29"/>
      <c r="H37" s="251"/>
      <c r="I37" s="255"/>
      <c r="J37" s="255"/>
      <c r="K37" s="255"/>
      <c r="L37" s="258"/>
      <c r="M37" s="29"/>
      <c r="N37" s="29"/>
      <c r="O37" s="29"/>
      <c r="P37" s="10"/>
      <c r="Q37" s="10"/>
      <c r="R37" s="10"/>
      <c r="S37" s="10"/>
      <c r="T37" s="19">
        <f t="shared" si="0"/>
        <v>0</v>
      </c>
      <c r="U37" s="64">
        <f t="shared" si="1"/>
        <v>0</v>
      </c>
      <c r="V37" s="232">
        <f t="shared" si="1"/>
        <v>0</v>
      </c>
      <c r="W37" s="402">
        <f t="shared" si="2"/>
        <v>0</v>
      </c>
    </row>
    <row r="38" spans="2:23" ht="30" customHeight="1">
      <c r="B38" s="225">
        <v>22</v>
      </c>
      <c r="C38" s="29" t="s">
        <v>141</v>
      </c>
      <c r="D38" s="336">
        <v>0</v>
      </c>
      <c r="E38" s="29">
        <v>0</v>
      </c>
      <c r="F38" s="29">
        <v>0</v>
      </c>
      <c r="G38" s="29">
        <v>1</v>
      </c>
      <c r="H38" s="251"/>
      <c r="I38" s="255"/>
      <c r="J38" s="255"/>
      <c r="K38" s="255"/>
      <c r="L38" s="258"/>
      <c r="M38" s="29"/>
      <c r="N38" s="29"/>
      <c r="O38" s="29"/>
      <c r="P38" s="10"/>
      <c r="Q38" s="10"/>
      <c r="R38" s="10"/>
      <c r="S38" s="10"/>
      <c r="T38" s="19">
        <f t="shared" ref="T38:T40" si="3">D38+H38+L38+P38</f>
        <v>0</v>
      </c>
      <c r="U38" s="64">
        <f t="shared" ref="U38:V52" si="4">E38+I38+M38+Q38</f>
        <v>0</v>
      </c>
      <c r="V38" s="232">
        <f t="shared" si="4"/>
        <v>0</v>
      </c>
      <c r="W38" s="402">
        <f t="shared" si="2"/>
        <v>1</v>
      </c>
    </row>
    <row r="39" spans="2:23" ht="30" customHeight="1">
      <c r="B39" s="225">
        <v>23</v>
      </c>
      <c r="C39" s="29" t="s">
        <v>142</v>
      </c>
      <c r="D39" s="336">
        <v>0</v>
      </c>
      <c r="E39" s="29">
        <v>0</v>
      </c>
      <c r="F39" s="29">
        <v>0</v>
      </c>
      <c r="G39" s="29">
        <v>2</v>
      </c>
      <c r="H39" s="251"/>
      <c r="I39" s="255"/>
      <c r="J39" s="255"/>
      <c r="K39" s="255"/>
      <c r="L39" s="258"/>
      <c r="M39" s="29"/>
      <c r="N39" s="29"/>
      <c r="O39" s="29"/>
      <c r="P39" s="10"/>
      <c r="Q39" s="10"/>
      <c r="R39" s="10"/>
      <c r="S39" s="10"/>
      <c r="T39" s="19">
        <f t="shared" si="3"/>
        <v>0</v>
      </c>
      <c r="U39" s="64">
        <f t="shared" si="4"/>
        <v>0</v>
      </c>
      <c r="V39" s="232">
        <f t="shared" si="4"/>
        <v>0</v>
      </c>
      <c r="W39" s="402">
        <f t="shared" si="2"/>
        <v>2</v>
      </c>
    </row>
    <row r="40" spans="2:23" ht="30" customHeight="1">
      <c r="B40" s="225">
        <v>24</v>
      </c>
      <c r="C40" s="29" t="s">
        <v>143</v>
      </c>
      <c r="D40" s="336">
        <v>0</v>
      </c>
      <c r="E40" s="29">
        <v>0</v>
      </c>
      <c r="F40" s="29">
        <v>0</v>
      </c>
      <c r="G40" s="29">
        <v>3</v>
      </c>
      <c r="H40" s="251"/>
      <c r="I40" s="255"/>
      <c r="J40" s="255"/>
      <c r="K40" s="255"/>
      <c r="L40" s="258"/>
      <c r="M40" s="29"/>
      <c r="N40" s="29"/>
      <c r="O40" s="29"/>
      <c r="P40" s="10"/>
      <c r="Q40" s="10"/>
      <c r="R40" s="10"/>
      <c r="S40" s="10"/>
      <c r="T40" s="19">
        <f t="shared" si="3"/>
        <v>0</v>
      </c>
      <c r="U40" s="64">
        <f t="shared" si="4"/>
        <v>0</v>
      </c>
      <c r="V40" s="232">
        <f t="shared" si="4"/>
        <v>0</v>
      </c>
      <c r="W40" s="402">
        <f t="shared" si="2"/>
        <v>3</v>
      </c>
    </row>
    <row r="41" spans="2:23" ht="30" customHeight="1">
      <c r="B41" s="225">
        <v>25</v>
      </c>
      <c r="C41" s="29" t="s">
        <v>144</v>
      </c>
      <c r="D41" s="336">
        <v>1.3</v>
      </c>
      <c r="E41" s="29">
        <v>0</v>
      </c>
      <c r="F41" s="29">
        <v>0</v>
      </c>
      <c r="G41" s="29">
        <v>1</v>
      </c>
      <c r="H41" s="251"/>
      <c r="I41" s="255"/>
      <c r="J41" s="255"/>
      <c r="K41" s="255"/>
      <c r="L41" s="258"/>
      <c r="M41" s="29"/>
      <c r="N41" s="29"/>
      <c r="O41" s="29"/>
      <c r="P41" s="10"/>
      <c r="Q41" s="10"/>
      <c r="R41" s="10"/>
      <c r="S41" s="10"/>
      <c r="T41" s="19">
        <f t="shared" ref="T41:T52" si="5">D41+H41+L41+P41</f>
        <v>1.3</v>
      </c>
      <c r="U41" s="64">
        <f t="shared" ref="U41:U52" si="6">E41+I41+M41+Q41</f>
        <v>0</v>
      </c>
      <c r="V41" s="232">
        <f t="shared" si="4"/>
        <v>0</v>
      </c>
      <c r="W41" s="402">
        <f t="shared" si="2"/>
        <v>1</v>
      </c>
    </row>
    <row r="42" spans="2:23" ht="30.75" customHeight="1">
      <c r="B42" s="225">
        <v>26</v>
      </c>
      <c r="C42" s="29" t="s">
        <v>145</v>
      </c>
      <c r="D42" s="336"/>
      <c r="E42" s="29"/>
      <c r="F42" s="29"/>
      <c r="G42" s="29"/>
      <c r="H42" s="251"/>
      <c r="I42" s="255"/>
      <c r="J42" s="255"/>
      <c r="K42" s="255"/>
      <c r="L42" s="258"/>
      <c r="M42" s="29"/>
      <c r="N42" s="29"/>
      <c r="O42" s="29"/>
      <c r="P42" s="10"/>
      <c r="Q42" s="10"/>
      <c r="R42" s="10"/>
      <c r="S42" s="10"/>
      <c r="T42" s="19">
        <f t="shared" si="5"/>
        <v>0</v>
      </c>
      <c r="U42" s="64">
        <f t="shared" si="6"/>
        <v>0</v>
      </c>
      <c r="V42" s="232">
        <f t="shared" si="4"/>
        <v>0</v>
      </c>
      <c r="W42" s="402">
        <f t="shared" si="2"/>
        <v>0</v>
      </c>
    </row>
    <row r="43" spans="2:23" ht="32.25" customHeight="1">
      <c r="B43" s="225">
        <v>27</v>
      </c>
      <c r="C43" s="29" t="s">
        <v>146</v>
      </c>
      <c r="D43" s="336">
        <v>0</v>
      </c>
      <c r="E43" s="29">
        <v>0</v>
      </c>
      <c r="F43" s="29">
        <v>0</v>
      </c>
      <c r="G43" s="29">
        <v>2</v>
      </c>
      <c r="H43" s="251"/>
      <c r="I43" s="255"/>
      <c r="J43" s="255"/>
      <c r="K43" s="255"/>
      <c r="L43" s="29"/>
      <c r="M43" s="29"/>
      <c r="N43" s="29"/>
      <c r="O43" s="29"/>
      <c r="P43" s="10"/>
      <c r="Q43" s="10"/>
      <c r="R43" s="10"/>
      <c r="S43" s="10"/>
      <c r="T43" s="19">
        <f t="shared" si="5"/>
        <v>0</v>
      </c>
      <c r="U43" s="64">
        <f t="shared" si="6"/>
        <v>0</v>
      </c>
      <c r="V43" s="232">
        <f t="shared" si="4"/>
        <v>0</v>
      </c>
      <c r="W43" s="402">
        <f t="shared" si="2"/>
        <v>2</v>
      </c>
    </row>
    <row r="44" spans="2:23" ht="29.25" customHeight="1">
      <c r="B44" s="225">
        <v>28</v>
      </c>
      <c r="C44" s="29" t="s">
        <v>147</v>
      </c>
      <c r="D44" s="336">
        <v>2.6</v>
      </c>
      <c r="E44" s="29">
        <v>0</v>
      </c>
      <c r="F44" s="29">
        <v>0</v>
      </c>
      <c r="G44" s="29">
        <v>2</v>
      </c>
      <c r="H44" s="251"/>
      <c r="I44" s="255"/>
      <c r="J44" s="255"/>
      <c r="K44" s="255"/>
      <c r="L44" s="258"/>
      <c r="M44" s="29"/>
      <c r="N44" s="29"/>
      <c r="O44" s="29"/>
      <c r="P44" s="10"/>
      <c r="Q44" s="10"/>
      <c r="R44" s="10"/>
      <c r="S44" s="10"/>
      <c r="T44" s="19">
        <f t="shared" si="5"/>
        <v>2.6</v>
      </c>
      <c r="U44" s="19">
        <f t="shared" si="6"/>
        <v>0</v>
      </c>
      <c r="V44" s="232">
        <f t="shared" si="4"/>
        <v>0</v>
      </c>
      <c r="W44" s="402">
        <f t="shared" si="2"/>
        <v>2</v>
      </c>
    </row>
    <row r="45" spans="2:23" ht="29.25" customHeight="1">
      <c r="B45" s="225">
        <v>29</v>
      </c>
      <c r="C45" s="340" t="s">
        <v>181</v>
      </c>
      <c r="D45" s="336">
        <v>4</v>
      </c>
      <c r="E45" s="29">
        <v>0</v>
      </c>
      <c r="F45" s="29">
        <v>0</v>
      </c>
      <c r="G45" s="29">
        <v>2</v>
      </c>
      <c r="H45" s="251"/>
      <c r="I45" s="255"/>
      <c r="J45" s="255"/>
      <c r="K45" s="255"/>
      <c r="L45" s="258"/>
      <c r="M45" s="29"/>
      <c r="N45" s="29"/>
      <c r="O45" s="29"/>
      <c r="P45" s="10"/>
      <c r="Q45" s="10"/>
      <c r="R45" s="10"/>
      <c r="S45" s="10"/>
      <c r="T45" s="19">
        <f t="shared" si="5"/>
        <v>4</v>
      </c>
      <c r="U45" s="19">
        <f t="shared" si="6"/>
        <v>0</v>
      </c>
      <c r="V45" s="232">
        <f t="shared" si="4"/>
        <v>0</v>
      </c>
      <c r="W45" s="402">
        <f t="shared" si="2"/>
        <v>2</v>
      </c>
    </row>
    <row r="46" spans="2:23" ht="29.25" customHeight="1">
      <c r="B46" s="225">
        <v>30</v>
      </c>
      <c r="C46" s="340" t="s">
        <v>182</v>
      </c>
      <c r="D46" s="336">
        <v>8.5</v>
      </c>
      <c r="E46" s="29">
        <v>0</v>
      </c>
      <c r="F46" s="29">
        <v>0</v>
      </c>
      <c r="G46" s="29">
        <v>5</v>
      </c>
      <c r="H46" s="251"/>
      <c r="I46" s="255"/>
      <c r="J46" s="255"/>
      <c r="K46" s="255"/>
      <c r="L46" s="258"/>
      <c r="M46" s="29"/>
      <c r="N46" s="29"/>
      <c r="O46" s="29"/>
      <c r="P46" s="10"/>
      <c r="Q46" s="10"/>
      <c r="R46" s="10"/>
      <c r="S46" s="10"/>
      <c r="T46" s="19">
        <f t="shared" si="5"/>
        <v>8.5</v>
      </c>
      <c r="U46" s="19">
        <f t="shared" si="6"/>
        <v>0</v>
      </c>
      <c r="V46" s="232">
        <f t="shared" si="4"/>
        <v>0</v>
      </c>
      <c r="W46" s="402">
        <f t="shared" si="2"/>
        <v>5</v>
      </c>
    </row>
    <row r="47" spans="2:23" ht="29.25" customHeight="1">
      <c r="B47" s="225">
        <v>31</v>
      </c>
      <c r="C47" s="340" t="s">
        <v>183</v>
      </c>
      <c r="D47" s="336">
        <v>14.2</v>
      </c>
      <c r="E47" s="224">
        <v>0</v>
      </c>
      <c r="F47" s="29">
        <v>0</v>
      </c>
      <c r="G47" s="29">
        <v>9</v>
      </c>
      <c r="H47" s="251"/>
      <c r="I47" s="255"/>
      <c r="J47" s="255"/>
      <c r="K47" s="255"/>
      <c r="L47" s="258"/>
      <c r="M47" s="29"/>
      <c r="N47" s="29"/>
      <c r="O47" s="29"/>
      <c r="P47" s="10"/>
      <c r="Q47" s="10"/>
      <c r="R47" s="10"/>
      <c r="S47" s="10"/>
      <c r="T47" s="19">
        <f t="shared" si="5"/>
        <v>14.2</v>
      </c>
      <c r="U47" s="19">
        <f t="shared" si="6"/>
        <v>0</v>
      </c>
      <c r="V47" s="232">
        <f t="shared" si="4"/>
        <v>0</v>
      </c>
      <c r="W47" s="402">
        <f t="shared" si="2"/>
        <v>9</v>
      </c>
    </row>
    <row r="48" spans="2:23" ht="29.25" customHeight="1">
      <c r="B48" s="225">
        <v>32</v>
      </c>
      <c r="C48" s="340" t="s">
        <v>184</v>
      </c>
      <c r="D48" s="336">
        <v>1.1000000000000001</v>
      </c>
      <c r="E48" s="224">
        <v>0</v>
      </c>
      <c r="F48" s="29">
        <v>0</v>
      </c>
      <c r="G48" s="29">
        <v>1</v>
      </c>
      <c r="H48" s="251"/>
      <c r="I48" s="255"/>
      <c r="J48" s="255"/>
      <c r="K48" s="255"/>
      <c r="L48" s="258"/>
      <c r="M48" s="29"/>
      <c r="N48" s="29"/>
      <c r="O48" s="29"/>
      <c r="P48" s="10"/>
      <c r="Q48" s="10"/>
      <c r="R48" s="10"/>
      <c r="S48" s="10"/>
      <c r="T48" s="19">
        <f t="shared" si="5"/>
        <v>1.1000000000000001</v>
      </c>
      <c r="U48" s="19">
        <f t="shared" si="6"/>
        <v>0</v>
      </c>
      <c r="V48" s="232">
        <f t="shared" si="4"/>
        <v>0</v>
      </c>
      <c r="W48" s="402">
        <f t="shared" si="2"/>
        <v>1</v>
      </c>
    </row>
    <row r="49" spans="2:23" ht="29.25" customHeight="1">
      <c r="B49" s="225">
        <v>33</v>
      </c>
      <c r="C49" s="340" t="s">
        <v>185</v>
      </c>
      <c r="D49" s="336">
        <v>0</v>
      </c>
      <c r="E49" s="224">
        <v>0</v>
      </c>
      <c r="F49" s="29">
        <v>0</v>
      </c>
      <c r="G49" s="29">
        <v>9</v>
      </c>
      <c r="H49" s="251"/>
      <c r="I49" s="255"/>
      <c r="J49" s="255"/>
      <c r="K49" s="255"/>
      <c r="L49" s="258"/>
      <c r="M49" s="29"/>
      <c r="N49" s="29"/>
      <c r="O49" s="29"/>
      <c r="P49" s="10"/>
      <c r="Q49" s="10"/>
      <c r="R49" s="10"/>
      <c r="S49" s="10"/>
      <c r="T49" s="19">
        <f t="shared" si="5"/>
        <v>0</v>
      </c>
      <c r="U49" s="19">
        <f t="shared" si="6"/>
        <v>0</v>
      </c>
      <c r="V49" s="232">
        <f t="shared" si="4"/>
        <v>0</v>
      </c>
      <c r="W49" s="402">
        <f t="shared" si="2"/>
        <v>9</v>
      </c>
    </row>
    <row r="50" spans="2:23" ht="29.25" customHeight="1">
      <c r="B50" s="225">
        <v>34</v>
      </c>
      <c r="C50" s="340" t="s">
        <v>186</v>
      </c>
      <c r="D50" s="336">
        <v>0</v>
      </c>
      <c r="E50" s="224">
        <v>0</v>
      </c>
      <c r="F50" s="29">
        <v>0</v>
      </c>
      <c r="G50" s="29">
        <v>3</v>
      </c>
      <c r="H50" s="251"/>
      <c r="I50" s="255"/>
      <c r="J50" s="255"/>
      <c r="K50" s="255"/>
      <c r="L50" s="258"/>
      <c r="M50" s="29"/>
      <c r="N50" s="29"/>
      <c r="O50" s="29"/>
      <c r="P50" s="10"/>
      <c r="Q50" s="10"/>
      <c r="R50" s="10"/>
      <c r="S50" s="10"/>
      <c r="T50" s="19">
        <f t="shared" si="5"/>
        <v>0</v>
      </c>
      <c r="U50" s="19">
        <f t="shared" si="6"/>
        <v>0</v>
      </c>
      <c r="V50" s="232">
        <f t="shared" si="4"/>
        <v>0</v>
      </c>
      <c r="W50" s="402">
        <f t="shared" si="2"/>
        <v>3</v>
      </c>
    </row>
    <row r="51" spans="2:23" ht="29.25" customHeight="1">
      <c r="B51" s="225">
        <v>35</v>
      </c>
      <c r="C51" s="340" t="s">
        <v>187</v>
      </c>
      <c r="D51" s="336">
        <v>0</v>
      </c>
      <c r="E51" s="224">
        <v>0</v>
      </c>
      <c r="F51" s="29">
        <v>0</v>
      </c>
      <c r="G51" s="29">
        <v>3</v>
      </c>
      <c r="H51" s="251"/>
      <c r="I51" s="255"/>
      <c r="J51" s="255"/>
      <c r="K51" s="255"/>
      <c r="L51" s="258"/>
      <c r="M51" s="29"/>
      <c r="N51" s="29"/>
      <c r="O51" s="29"/>
      <c r="P51" s="10"/>
      <c r="Q51" s="10"/>
      <c r="R51" s="10"/>
      <c r="S51" s="10"/>
      <c r="T51" s="19">
        <f t="shared" si="5"/>
        <v>0</v>
      </c>
      <c r="U51" s="19">
        <f t="shared" si="6"/>
        <v>0</v>
      </c>
      <c r="V51" s="232">
        <f t="shared" si="4"/>
        <v>0</v>
      </c>
      <c r="W51" s="402">
        <f t="shared" si="2"/>
        <v>3</v>
      </c>
    </row>
    <row r="52" spans="2:23" ht="29.25" customHeight="1">
      <c r="B52" s="225">
        <v>36</v>
      </c>
      <c r="C52" s="340" t="s">
        <v>188</v>
      </c>
      <c r="D52" s="336">
        <v>0</v>
      </c>
      <c r="E52" s="224">
        <v>0</v>
      </c>
      <c r="F52" s="29">
        <v>0</v>
      </c>
      <c r="G52" s="29">
        <v>1</v>
      </c>
      <c r="H52" s="251"/>
      <c r="I52" s="255"/>
      <c r="J52" s="255"/>
      <c r="K52" s="255"/>
      <c r="L52" s="258"/>
      <c r="M52" s="29"/>
      <c r="N52" s="29"/>
      <c r="O52" s="29"/>
      <c r="P52" s="10"/>
      <c r="Q52" s="10"/>
      <c r="R52" s="10"/>
      <c r="S52" s="10"/>
      <c r="T52" s="19">
        <f t="shared" si="5"/>
        <v>0</v>
      </c>
      <c r="U52" s="19">
        <f t="shared" si="6"/>
        <v>0</v>
      </c>
      <c r="V52" s="232">
        <f t="shared" si="4"/>
        <v>0</v>
      </c>
      <c r="W52" s="402">
        <f t="shared" si="2"/>
        <v>1</v>
      </c>
    </row>
    <row r="53" spans="2:23" ht="29.25" customHeight="1">
      <c r="B53" s="365" t="s">
        <v>112</v>
      </c>
      <c r="C53" s="365"/>
      <c r="D53" s="338">
        <f>SUM(D17:D52)</f>
        <v>20214.3</v>
      </c>
      <c r="E53" s="338">
        <f t="shared" ref="E53:G53" si="7">SUM(E17:E52)</f>
        <v>285</v>
      </c>
      <c r="F53" s="338">
        <f t="shared" si="7"/>
        <v>1</v>
      </c>
      <c r="G53" s="338">
        <f t="shared" si="7"/>
        <v>282</v>
      </c>
      <c r="H53" s="338">
        <f t="shared" ref="H53" si="8">SUM(H17:H52)</f>
        <v>0</v>
      </c>
      <c r="I53" s="338">
        <f t="shared" ref="I53" si="9">SUM(I17:I52)</f>
        <v>0</v>
      </c>
      <c r="J53" s="338">
        <f t="shared" ref="J53" si="10">SUM(J17:J52)</f>
        <v>0</v>
      </c>
      <c r="K53" s="338">
        <f t="shared" ref="K53" si="11">SUM(K17:K52)</f>
        <v>0</v>
      </c>
      <c r="L53" s="338">
        <f t="shared" ref="L53" si="12">SUM(L17:L52)</f>
        <v>0</v>
      </c>
      <c r="M53" s="338">
        <f t="shared" ref="M53" si="13">SUM(M17:M52)</f>
        <v>0</v>
      </c>
      <c r="N53" s="338">
        <f t="shared" ref="N53" si="14">SUM(N17:N52)</f>
        <v>0</v>
      </c>
      <c r="O53" s="338">
        <f t="shared" ref="O53" si="15">SUM(O17:O52)</f>
        <v>0</v>
      </c>
      <c r="P53" s="338">
        <f t="shared" ref="P53" si="16">SUM(P17:P52)</f>
        <v>0</v>
      </c>
      <c r="Q53" s="338">
        <f t="shared" ref="Q53" si="17">SUM(Q17:Q52)</f>
        <v>0</v>
      </c>
      <c r="R53" s="338">
        <f t="shared" ref="R53" si="18">SUM(R17:R52)</f>
        <v>0</v>
      </c>
      <c r="S53" s="338">
        <f t="shared" ref="S53" si="19">SUM(S17:S52)</f>
        <v>0</v>
      </c>
      <c r="T53" s="338">
        <f t="shared" ref="T53" si="20">SUM(T17:T52)</f>
        <v>20214.3</v>
      </c>
      <c r="U53" s="338">
        <f t="shared" ref="U53" si="21">SUM(U17:U52)</f>
        <v>285</v>
      </c>
      <c r="V53" s="338">
        <f t="shared" ref="V53" si="22">SUM(V17:V52)</f>
        <v>1</v>
      </c>
      <c r="W53" s="338">
        <f t="shared" ref="W53" si="23">SUM(W17:W52)</f>
        <v>282</v>
      </c>
    </row>
    <row r="54" spans="2:23">
      <c r="B54" t="s">
        <v>116</v>
      </c>
      <c r="D54" s="363">
        <f>13331800*15000</f>
        <v>199977000000</v>
      </c>
      <c r="E54" s="363"/>
      <c r="H54" s="363"/>
      <c r="I54" s="363"/>
      <c r="L54" s="363"/>
      <c r="M54" s="363"/>
      <c r="N54" s="6"/>
      <c r="O54" s="6"/>
      <c r="P54" s="363"/>
      <c r="Q54" s="363"/>
      <c r="T54" s="6">
        <f>+T53*15000</f>
        <v>303214500</v>
      </c>
    </row>
    <row r="55" spans="2:23">
      <c r="L55" s="259"/>
    </row>
    <row r="57" spans="2:23">
      <c r="Q57" s="6">
        <f>+Q56*14600</f>
        <v>0</v>
      </c>
    </row>
  </sheetData>
  <mergeCells count="31">
    <mergeCell ref="U13:V13"/>
    <mergeCell ref="W13:W14"/>
    <mergeCell ref="B7:X7"/>
    <mergeCell ref="B8:X8"/>
    <mergeCell ref="B9:X9"/>
    <mergeCell ref="B10:X10"/>
    <mergeCell ref="D12:F12"/>
    <mergeCell ref="H12:J12"/>
    <mergeCell ref="L12:N12"/>
    <mergeCell ref="P12:R12"/>
    <mergeCell ref="T12:W12"/>
    <mergeCell ref="B12:B14"/>
    <mergeCell ref="C12:C14"/>
    <mergeCell ref="D13:D14"/>
    <mergeCell ref="T13:T14"/>
    <mergeCell ref="G13:G14"/>
    <mergeCell ref="K13:K14"/>
    <mergeCell ref="O13:O14"/>
    <mergeCell ref="S13:S14"/>
    <mergeCell ref="E13:F13"/>
    <mergeCell ref="I13:J13"/>
    <mergeCell ref="M13:N13"/>
    <mergeCell ref="Q13:R13"/>
    <mergeCell ref="H13:H14"/>
    <mergeCell ref="L13:L14"/>
    <mergeCell ref="P13:P14"/>
    <mergeCell ref="B53:C53"/>
    <mergeCell ref="D54:E54"/>
    <mergeCell ref="H54:I54"/>
    <mergeCell ref="L54:M54"/>
    <mergeCell ref="P54:Q54"/>
  </mergeCells>
  <printOptions horizontalCentered="1"/>
  <pageMargins left="0.67" right="0.35433070866141703" top="0.98425196850393704" bottom="0.98425196850393704" header="0.511811023622047" footer="0.511811023622047"/>
  <pageSetup paperSize="9" scale="54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PBrush" shapeId="5122" r:id="rId4">
          <objectPr defaultSize="0" autoPict="0" altText="" r:id="rId5">
            <anchor moveWithCells="1" sizeWithCells="1">
              <from>
                <xdr:col>8</xdr:col>
                <xdr:colOff>723900</xdr:colOff>
                <xdr:row>0</xdr:row>
                <xdr:rowOff>123825</xdr:rowOff>
              </from>
              <to>
                <xdr:col>11</xdr:col>
                <xdr:colOff>152400</xdr:colOff>
                <xdr:row>4</xdr:row>
                <xdr:rowOff>171450</xdr:rowOff>
              </to>
            </anchor>
          </objectPr>
        </oleObject>
      </mc:Choice>
      <mc:Fallback>
        <oleObject progId="PBrush" shapeId="5122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P84"/>
  <sheetViews>
    <sheetView tabSelected="1" view="pageBreakPreview" topLeftCell="B19" zoomScaleNormal="100" workbookViewId="0">
      <selection activeCell="E35" sqref="E35"/>
    </sheetView>
  </sheetViews>
  <sheetFormatPr defaultColWidth="9.140625" defaultRowHeight="15"/>
  <cols>
    <col min="1" max="1" width="14.5703125" customWidth="1"/>
    <col min="2" max="2" width="6.42578125" customWidth="1"/>
    <col min="3" max="3" width="20.85546875" customWidth="1"/>
    <col min="4" max="6" width="21.42578125" customWidth="1"/>
    <col min="7" max="7" width="12.85546875" customWidth="1"/>
    <col min="8" max="9" width="10.7109375" customWidth="1"/>
    <col min="10" max="10" width="15.42578125" customWidth="1"/>
    <col min="11" max="11" width="12.85546875" customWidth="1"/>
    <col min="12" max="12" width="9.85546875" customWidth="1"/>
    <col min="13" max="13" width="16.28515625" customWidth="1"/>
    <col min="14" max="14" width="12.28515625" customWidth="1"/>
    <col min="15" max="15" width="9.28515625" customWidth="1"/>
    <col min="16" max="18" width="14.5703125" customWidth="1"/>
    <col min="19" max="19" width="18" customWidth="1"/>
    <col min="20" max="30" width="14.5703125" customWidth="1"/>
    <col min="31" max="31" width="17.140625" customWidth="1"/>
    <col min="32" max="32" width="14.85546875" customWidth="1"/>
    <col min="33" max="33" width="12.5703125" customWidth="1"/>
  </cols>
  <sheetData>
    <row r="1" spans="2:34" ht="15" customHeight="1">
      <c r="B1" s="2"/>
      <c r="C1" s="3"/>
      <c r="D1" s="3"/>
      <c r="E1" s="3"/>
      <c r="F1" s="3"/>
      <c r="G1" s="3"/>
      <c r="H1" s="3"/>
      <c r="I1" s="3"/>
      <c r="J1" s="4"/>
      <c r="K1" s="4"/>
      <c r="L1" s="2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2:34" ht="15" customHeight="1">
      <c r="B2" s="2"/>
      <c r="C2" s="3"/>
      <c r="D2" s="3"/>
      <c r="E2" s="3"/>
      <c r="F2" s="3"/>
      <c r="G2" s="3"/>
      <c r="H2" s="3"/>
      <c r="I2" s="3"/>
      <c r="J2" s="4"/>
      <c r="K2" s="4"/>
      <c r="L2" s="2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2:34" ht="15" customHeight="1">
      <c r="B3" s="2"/>
      <c r="C3" s="3"/>
      <c r="D3" s="3"/>
      <c r="E3" s="3"/>
      <c r="F3" s="3"/>
      <c r="G3" s="3"/>
      <c r="H3" s="3"/>
      <c r="I3" s="3"/>
      <c r="J3" s="4"/>
      <c r="K3" s="4"/>
      <c r="L3" s="2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2:34" ht="15" customHeight="1">
      <c r="B4" s="2"/>
      <c r="C4" s="3"/>
      <c r="D4" s="3"/>
      <c r="E4" s="3"/>
      <c r="F4" s="3"/>
      <c r="G4" s="3"/>
      <c r="H4" s="3"/>
      <c r="I4" s="3"/>
      <c r="J4" s="4"/>
      <c r="K4" s="4"/>
      <c r="L4" s="2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2:34" ht="15" customHeight="1">
      <c r="B5" s="2"/>
      <c r="C5" s="3"/>
      <c r="D5" s="3"/>
      <c r="E5" s="3"/>
      <c r="F5" s="3"/>
      <c r="G5" s="3"/>
      <c r="H5" s="3"/>
      <c r="I5" s="3"/>
      <c r="J5" s="4"/>
      <c r="K5" s="4"/>
      <c r="L5" s="2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2:34" ht="15" customHeight="1">
      <c r="B6" s="2"/>
      <c r="C6" s="3"/>
      <c r="D6" s="3"/>
      <c r="E6" s="3"/>
      <c r="F6" s="3"/>
      <c r="G6" s="3"/>
      <c r="H6" s="3"/>
      <c r="I6" s="3"/>
      <c r="J6" s="4"/>
      <c r="K6" s="4"/>
      <c r="L6" s="2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2:34" ht="18">
      <c r="B7" s="354" t="s">
        <v>33</v>
      </c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4"/>
      <c r="X7" s="354"/>
      <c r="Y7" s="354"/>
      <c r="Z7" s="354"/>
      <c r="AA7" s="354"/>
      <c r="AB7" s="354"/>
      <c r="AC7" s="354"/>
      <c r="AD7" s="354"/>
      <c r="AE7" s="354"/>
      <c r="AF7" s="354"/>
      <c r="AG7" s="354"/>
      <c r="AH7" s="354"/>
    </row>
    <row r="8" spans="2:34" ht="18">
      <c r="B8" s="354" t="s">
        <v>34</v>
      </c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354"/>
      <c r="X8" s="354"/>
      <c r="Y8" s="354"/>
      <c r="Z8" s="354"/>
      <c r="AA8" s="354"/>
      <c r="AB8" s="354"/>
      <c r="AC8" s="354"/>
      <c r="AD8" s="354"/>
      <c r="AE8" s="354"/>
      <c r="AF8" s="354"/>
      <c r="AG8" s="354"/>
      <c r="AH8" s="354"/>
    </row>
    <row r="9" spans="2:34" ht="18">
      <c r="B9" s="354" t="s">
        <v>148</v>
      </c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354"/>
      <c r="AE9" s="354"/>
      <c r="AF9" s="354"/>
      <c r="AG9" s="354"/>
      <c r="AH9" s="354"/>
    </row>
    <row r="10" spans="2:34" ht="18">
      <c r="B10" s="354" t="s">
        <v>36</v>
      </c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  <c r="V10" s="354"/>
      <c r="W10" s="354"/>
      <c r="X10" s="354"/>
      <c r="Y10" s="354"/>
      <c r="Z10" s="354"/>
      <c r="AA10" s="354"/>
      <c r="AB10" s="354"/>
      <c r="AC10" s="354"/>
      <c r="AD10" s="354"/>
      <c r="AE10" s="354"/>
      <c r="AF10" s="354"/>
      <c r="AG10" s="354"/>
      <c r="AH10" s="354"/>
    </row>
    <row r="11" spans="2:34"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</row>
    <row r="12" spans="2:34">
      <c r="B12" s="355" t="s">
        <v>82</v>
      </c>
      <c r="C12" s="355" t="s">
        <v>83</v>
      </c>
      <c r="D12" s="356" t="s">
        <v>39</v>
      </c>
      <c r="E12" s="364"/>
      <c r="F12" s="364"/>
      <c r="G12" s="364"/>
      <c r="H12" s="364"/>
      <c r="I12" s="364"/>
      <c r="J12" s="364"/>
      <c r="K12" s="364"/>
      <c r="L12" s="359"/>
      <c r="M12" s="356" t="s">
        <v>40</v>
      </c>
      <c r="N12" s="364"/>
      <c r="O12" s="364"/>
      <c r="P12" s="364"/>
      <c r="Q12" s="364"/>
      <c r="R12" s="364"/>
      <c r="S12" s="356" t="s">
        <v>41</v>
      </c>
      <c r="T12" s="364"/>
      <c r="U12" s="359"/>
      <c r="V12" s="72"/>
      <c r="W12" s="72"/>
      <c r="X12" s="72"/>
      <c r="Y12" s="356" t="s">
        <v>42</v>
      </c>
      <c r="Z12" s="364"/>
      <c r="AA12" s="359"/>
      <c r="AB12" s="72"/>
      <c r="AC12" s="72"/>
      <c r="AD12" s="72"/>
      <c r="AE12" s="356" t="s">
        <v>43</v>
      </c>
      <c r="AF12" s="364"/>
      <c r="AG12" s="359"/>
    </row>
    <row r="13" spans="2:34" ht="23.1" customHeight="1">
      <c r="B13" s="355"/>
      <c r="C13" s="355"/>
      <c r="D13" s="361" t="s">
        <v>149</v>
      </c>
      <c r="E13" s="361" t="s">
        <v>167</v>
      </c>
      <c r="F13" s="361" t="s">
        <v>189</v>
      </c>
      <c r="G13" s="356" t="s">
        <v>190</v>
      </c>
      <c r="H13" s="364"/>
      <c r="I13" s="359"/>
      <c r="J13" s="361" t="s">
        <v>150</v>
      </c>
      <c r="K13" s="355" t="s">
        <v>45</v>
      </c>
      <c r="L13" s="355"/>
      <c r="M13" s="361" t="s">
        <v>151</v>
      </c>
      <c r="N13" s="355" t="s">
        <v>45</v>
      </c>
      <c r="O13" s="355"/>
      <c r="P13" s="361" t="s">
        <v>150</v>
      </c>
      <c r="Q13" s="355" t="s">
        <v>45</v>
      </c>
      <c r="R13" s="355"/>
      <c r="S13" s="361" t="s">
        <v>151</v>
      </c>
      <c r="T13" s="355" t="s">
        <v>45</v>
      </c>
      <c r="U13" s="355"/>
      <c r="V13" s="361" t="s">
        <v>150</v>
      </c>
      <c r="W13" s="355" t="s">
        <v>45</v>
      </c>
      <c r="X13" s="355"/>
      <c r="Y13" s="361" t="s">
        <v>152</v>
      </c>
      <c r="Z13" s="355" t="s">
        <v>45</v>
      </c>
      <c r="AA13" s="355"/>
      <c r="AB13" s="361" t="s">
        <v>153</v>
      </c>
      <c r="AC13" s="355" t="s">
        <v>45</v>
      </c>
      <c r="AD13" s="355"/>
      <c r="AE13" s="361" t="s">
        <v>84</v>
      </c>
      <c r="AF13" s="355" t="s">
        <v>45</v>
      </c>
      <c r="AG13" s="355"/>
    </row>
    <row r="14" spans="2:34" ht="48" customHeight="1">
      <c r="B14" s="355"/>
      <c r="C14" s="355"/>
      <c r="D14" s="361"/>
      <c r="E14" s="361"/>
      <c r="F14" s="361"/>
      <c r="G14" s="37" t="s">
        <v>85</v>
      </c>
      <c r="H14" s="37" t="s">
        <v>49</v>
      </c>
      <c r="I14" s="404" t="s">
        <v>46</v>
      </c>
      <c r="J14" s="361"/>
      <c r="K14" s="37" t="s">
        <v>85</v>
      </c>
      <c r="L14" s="37" t="s">
        <v>49</v>
      </c>
      <c r="M14" s="361"/>
      <c r="N14" s="37" t="s">
        <v>85</v>
      </c>
      <c r="O14" s="37" t="s">
        <v>49</v>
      </c>
      <c r="P14" s="361"/>
      <c r="Q14" s="37" t="s">
        <v>85</v>
      </c>
      <c r="R14" s="37" t="s">
        <v>49</v>
      </c>
      <c r="S14" s="361"/>
      <c r="T14" s="37" t="s">
        <v>85</v>
      </c>
      <c r="U14" s="37" t="s">
        <v>49</v>
      </c>
      <c r="V14" s="361"/>
      <c r="W14" s="37" t="s">
        <v>85</v>
      </c>
      <c r="X14" s="37" t="s">
        <v>49</v>
      </c>
      <c r="Y14" s="361"/>
      <c r="Z14" s="37" t="s">
        <v>85</v>
      </c>
      <c r="AA14" s="37" t="s">
        <v>49</v>
      </c>
      <c r="AB14" s="361"/>
      <c r="AC14" s="37" t="s">
        <v>85</v>
      </c>
      <c r="AD14" s="37" t="s">
        <v>49</v>
      </c>
      <c r="AE14" s="361"/>
      <c r="AF14" s="37" t="s">
        <v>85</v>
      </c>
      <c r="AG14" s="37" t="s">
        <v>49</v>
      </c>
    </row>
    <row r="15" spans="2:34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30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</row>
    <row r="16" spans="2:34">
      <c r="B16" s="29"/>
      <c r="C16" s="223" t="s">
        <v>86</v>
      </c>
      <c r="D16" s="223"/>
      <c r="E16" s="223"/>
      <c r="F16" s="223"/>
      <c r="G16" s="223"/>
      <c r="H16" s="223"/>
      <c r="I16" s="223"/>
      <c r="J16" s="224"/>
      <c r="K16" s="29"/>
      <c r="L16" s="29"/>
      <c r="M16" s="29"/>
      <c r="N16" s="29"/>
      <c r="O16" s="29"/>
      <c r="P16" s="29"/>
      <c r="Q16" s="29"/>
      <c r="R16" s="29"/>
      <c r="S16" s="230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</row>
    <row r="17" spans="2:42">
      <c r="B17" s="225">
        <v>1</v>
      </c>
      <c r="C17" s="24" t="s">
        <v>87</v>
      </c>
      <c r="D17" s="25">
        <f>15000*'PMA PERLOKASI'!D17</f>
        <v>19701000</v>
      </c>
      <c r="E17" s="25">
        <f>'PMDN LOKASI'!D17</f>
        <v>4143.3999999999996</v>
      </c>
      <c r="F17" s="25">
        <f>+D17+E17</f>
        <v>19705143.399999999</v>
      </c>
      <c r="G17" s="26">
        <f>+'PMA PERLOKASI'!E17+'PMDN LOKASI'!E17</f>
        <v>12</v>
      </c>
      <c r="H17" s="27">
        <f>+'PMA PERLOKASI'!F17+'PMDN LOKASI'!F17</f>
        <v>0</v>
      </c>
      <c r="I17" s="67">
        <f>+'PMA PERLOKASI'!G17+'PMDN LOKASI'!G17</f>
        <v>110</v>
      </c>
      <c r="J17" s="10"/>
      <c r="K17" s="69"/>
      <c r="L17" s="69"/>
      <c r="M17" s="231"/>
      <c r="N17" s="26"/>
      <c r="O17" s="26"/>
      <c r="P17" s="19"/>
      <c r="Q17" s="232"/>
      <c r="R17" s="232"/>
      <c r="S17" s="68"/>
      <c r="T17" s="19"/>
      <c r="U17" s="19"/>
      <c r="V17" s="68"/>
      <c r="W17" s="98"/>
      <c r="X17" s="19"/>
      <c r="Y17" s="238"/>
      <c r="Z17" s="64"/>
      <c r="AA17" s="64"/>
      <c r="AB17" s="64"/>
      <c r="AC17" s="64"/>
      <c r="AD17" s="64"/>
      <c r="AE17" s="243"/>
      <c r="AF17" s="244">
        <f>+G17+K17+N17+Q17+W17</f>
        <v>12</v>
      </c>
      <c r="AG17" s="19">
        <f>+H17+L17+O17+R17+X17</f>
        <v>0</v>
      </c>
    </row>
    <row r="18" spans="2:42">
      <c r="B18" s="225">
        <v>2</v>
      </c>
      <c r="C18" s="24" t="s">
        <v>88</v>
      </c>
      <c r="D18" s="25">
        <f>15000*'PMA PERLOKASI'!D18</f>
        <v>2434500</v>
      </c>
      <c r="E18" s="25">
        <f>'PMDN LOKASI'!D18</f>
        <v>62518.78</v>
      </c>
      <c r="F18" s="25">
        <f t="shared" ref="F18:F37" si="0">+D18+E18</f>
        <v>2497018.7799999998</v>
      </c>
      <c r="G18" s="26">
        <f>+'PMA PERLOKASI'!E18+'PMDN LOKASI'!E18</f>
        <v>26</v>
      </c>
      <c r="H18" s="27">
        <f>+'PMA PERLOKASI'!F18+'PMDN LOKASI'!F18</f>
        <v>1</v>
      </c>
      <c r="I18" s="67">
        <f>+'PMA PERLOKASI'!G18+'PMDN LOKASI'!G18</f>
        <v>96</v>
      </c>
      <c r="J18" s="18"/>
      <c r="K18" s="62"/>
      <c r="L18" s="62"/>
      <c r="M18" s="233"/>
      <c r="N18" s="26"/>
      <c r="O18" s="26"/>
      <c r="P18" s="19"/>
      <c r="Q18" s="232"/>
      <c r="R18" s="232"/>
      <c r="S18" s="68"/>
      <c r="T18" s="19"/>
      <c r="U18" s="19"/>
      <c r="V18" s="68"/>
      <c r="W18" s="98"/>
      <c r="X18" s="19"/>
      <c r="Y18" s="238"/>
      <c r="Z18" s="64"/>
      <c r="AA18" s="64"/>
      <c r="AB18" s="64"/>
      <c r="AC18" s="64"/>
      <c r="AD18" s="64"/>
      <c r="AE18" s="243"/>
      <c r="AF18" s="244">
        <f t="shared" ref="AF18:AF37" si="1">+G18+K18+N18+Q18+W18</f>
        <v>26</v>
      </c>
      <c r="AG18" s="19">
        <f t="shared" ref="AG18:AG37" si="2">+H18+L18+O18+R18+X18</f>
        <v>1</v>
      </c>
    </row>
    <row r="19" spans="2:42">
      <c r="B19" s="225">
        <v>3</v>
      </c>
      <c r="C19" s="24" t="s">
        <v>89</v>
      </c>
      <c r="D19" s="25">
        <f>15000*'PMA PERLOKASI'!D19</f>
        <v>11688000</v>
      </c>
      <c r="E19" s="25">
        <f>'PMDN LOKASI'!D19</f>
        <v>148.6</v>
      </c>
      <c r="F19" s="25">
        <f t="shared" si="0"/>
        <v>11688148.6</v>
      </c>
      <c r="G19" s="26">
        <f>+'PMA PERLOKASI'!E19+'PMDN LOKASI'!E19</f>
        <v>6</v>
      </c>
      <c r="H19" s="27">
        <f>+'PMA PERLOKASI'!F19+'PMDN LOKASI'!F19</f>
        <v>0</v>
      </c>
      <c r="I19" s="67">
        <f>+'PMA PERLOKASI'!G19+'PMDN LOKASI'!G19</f>
        <v>29</v>
      </c>
      <c r="J19" s="18"/>
      <c r="K19" s="62"/>
      <c r="L19" s="62"/>
      <c r="M19" s="233"/>
      <c r="N19" s="26"/>
      <c r="O19" s="26"/>
      <c r="P19" s="19"/>
      <c r="Q19" s="232"/>
      <c r="R19" s="232"/>
      <c r="S19" s="68"/>
      <c r="T19" s="19"/>
      <c r="U19" s="19"/>
      <c r="V19" s="68"/>
      <c r="W19" s="98"/>
      <c r="X19" s="19"/>
      <c r="Y19" s="238"/>
      <c r="Z19" s="64"/>
      <c r="AA19" s="64"/>
      <c r="AB19" s="64"/>
      <c r="AC19" s="64"/>
      <c r="AD19" s="64"/>
      <c r="AE19" s="243"/>
      <c r="AF19" s="244">
        <f t="shared" si="1"/>
        <v>6</v>
      </c>
      <c r="AG19" s="19">
        <f t="shared" si="2"/>
        <v>0</v>
      </c>
    </row>
    <row r="20" spans="2:42">
      <c r="B20" s="225">
        <v>4</v>
      </c>
      <c r="C20" s="24" t="s">
        <v>90</v>
      </c>
      <c r="D20" s="25">
        <f>15000*'PMA PERLOKASI'!D20</f>
        <v>0</v>
      </c>
      <c r="E20" s="25">
        <f>'PMDN LOKASI'!D20</f>
        <v>69985.3</v>
      </c>
      <c r="F20" s="25">
        <f t="shared" si="0"/>
        <v>69985.3</v>
      </c>
      <c r="G20" s="26">
        <f>+'PMA PERLOKASI'!E20+'PMDN LOKASI'!E20</f>
        <v>15</v>
      </c>
      <c r="H20" s="27">
        <f>+'PMA PERLOKASI'!F20+'PMDN LOKASI'!F20</f>
        <v>0</v>
      </c>
      <c r="I20" s="67">
        <f>+'PMA PERLOKASI'!G20+'PMDN LOKASI'!G20</f>
        <v>23</v>
      </c>
      <c r="J20" s="18"/>
      <c r="K20" s="62"/>
      <c r="L20" s="62"/>
      <c r="M20" s="234"/>
      <c r="N20" s="26"/>
      <c r="O20" s="26"/>
      <c r="P20" s="19"/>
      <c r="Q20" s="232"/>
      <c r="R20" s="232"/>
      <c r="S20" s="68"/>
      <c r="T20" s="19"/>
      <c r="U20" s="19"/>
      <c r="V20" s="68"/>
      <c r="W20" s="98"/>
      <c r="X20" s="19"/>
      <c r="Y20" s="238"/>
      <c r="Z20" s="64"/>
      <c r="AA20" s="64"/>
      <c r="AB20" s="64"/>
      <c r="AC20" s="64"/>
      <c r="AD20" s="64"/>
      <c r="AE20" s="243"/>
      <c r="AF20" s="244">
        <f t="shared" si="1"/>
        <v>15</v>
      </c>
      <c r="AG20" s="19">
        <f t="shared" si="2"/>
        <v>0</v>
      </c>
    </row>
    <row r="21" spans="2:42">
      <c r="B21" s="225">
        <v>5</v>
      </c>
      <c r="C21" s="24" t="s">
        <v>91</v>
      </c>
      <c r="D21" s="25">
        <f>15000*'PMA PERLOKASI'!D21</f>
        <v>0</v>
      </c>
      <c r="E21" s="25">
        <f>'PMDN LOKASI'!D21</f>
        <v>25093.4</v>
      </c>
      <c r="F21" s="25">
        <f t="shared" si="0"/>
        <v>25093.4</v>
      </c>
      <c r="G21" s="26">
        <f>+'PMA PERLOKASI'!E21+'PMDN LOKASI'!E21</f>
        <v>18</v>
      </c>
      <c r="H21" s="27">
        <f>+'PMA PERLOKASI'!F21+'PMDN LOKASI'!F21</f>
        <v>0</v>
      </c>
      <c r="I21" s="67">
        <f>+'PMA PERLOKASI'!G21+'PMDN LOKASI'!G21</f>
        <v>29</v>
      </c>
      <c r="J21" s="18"/>
      <c r="K21" s="62"/>
      <c r="L21" s="62"/>
      <c r="M21" s="234"/>
      <c r="N21" s="26"/>
      <c r="O21" s="26"/>
      <c r="P21" s="19"/>
      <c r="Q21" s="232"/>
      <c r="R21" s="232"/>
      <c r="S21" s="68"/>
      <c r="T21" s="19"/>
      <c r="U21" s="19"/>
      <c r="V21" s="68"/>
      <c r="W21" s="98"/>
      <c r="X21" s="19"/>
      <c r="Y21" s="238"/>
      <c r="Z21" s="64"/>
      <c r="AA21" s="64"/>
      <c r="AB21" s="64"/>
      <c r="AC21" s="64"/>
      <c r="AD21" s="64"/>
      <c r="AE21" s="243"/>
      <c r="AF21" s="244">
        <f t="shared" si="1"/>
        <v>18</v>
      </c>
      <c r="AG21" s="19">
        <f t="shared" si="2"/>
        <v>0</v>
      </c>
    </row>
    <row r="22" spans="2:42">
      <c r="B22" s="225">
        <v>6</v>
      </c>
      <c r="C22" s="24" t="s">
        <v>92</v>
      </c>
      <c r="D22" s="25">
        <f>15000*'PMA PERLOKASI'!D22</f>
        <v>1150500</v>
      </c>
      <c r="E22" s="25">
        <f>'PMDN LOKASI'!D22</f>
        <v>363393.4</v>
      </c>
      <c r="F22" s="25">
        <f t="shared" si="0"/>
        <v>1513893.4</v>
      </c>
      <c r="G22" s="26">
        <f>+'PMA PERLOKASI'!E22+'PMDN LOKASI'!E22</f>
        <v>34</v>
      </c>
      <c r="H22" s="27">
        <f>+'PMA PERLOKASI'!F22+'PMDN LOKASI'!F22</f>
        <v>0</v>
      </c>
      <c r="I22" s="67">
        <f>+'PMA PERLOKASI'!G22+'PMDN LOKASI'!G22</f>
        <v>98</v>
      </c>
      <c r="J22" s="18"/>
      <c r="K22" s="62"/>
      <c r="L22" s="62"/>
      <c r="M22" s="233"/>
      <c r="N22" s="64"/>
      <c r="O22" s="65"/>
      <c r="P22" s="19"/>
      <c r="Q22" s="232"/>
      <c r="R22" s="232"/>
      <c r="S22" s="68"/>
      <c r="T22" s="19"/>
      <c r="U22" s="19"/>
      <c r="V22" s="68"/>
      <c r="W22" s="98"/>
      <c r="X22" s="19"/>
      <c r="Y22" s="238"/>
      <c r="Z22" s="64"/>
      <c r="AA22" s="64"/>
      <c r="AB22" s="64"/>
      <c r="AC22" s="64"/>
      <c r="AD22" s="64"/>
      <c r="AE22" s="243"/>
      <c r="AF22" s="244">
        <f t="shared" si="1"/>
        <v>34</v>
      </c>
      <c r="AG22" s="19">
        <f t="shared" si="2"/>
        <v>0</v>
      </c>
    </row>
    <row r="23" spans="2:42">
      <c r="B23" s="225">
        <v>7</v>
      </c>
      <c r="C23" s="24" t="s">
        <v>93</v>
      </c>
      <c r="D23" s="25">
        <f>15000*'PMA PERLOKASI'!D23</f>
        <v>9520500</v>
      </c>
      <c r="E23" s="25">
        <f>'PMDN LOKASI'!D23</f>
        <v>10897.9</v>
      </c>
      <c r="F23" s="25">
        <f t="shared" si="0"/>
        <v>9531397.9000000004</v>
      </c>
      <c r="G23" s="26">
        <f>+'PMA PERLOKASI'!E23+'PMDN LOKASI'!E23</f>
        <v>173</v>
      </c>
      <c r="H23" s="27">
        <f>+'PMA PERLOKASI'!F23+'PMDN LOKASI'!F23</f>
        <v>0</v>
      </c>
      <c r="I23" s="67">
        <f>+'PMA PERLOKASI'!G23+'PMDN LOKASI'!G23</f>
        <v>43</v>
      </c>
      <c r="J23" s="18"/>
      <c r="K23" s="62"/>
      <c r="L23" s="62"/>
      <c r="M23" s="233"/>
      <c r="N23" s="26"/>
      <c r="O23" s="26"/>
      <c r="P23" s="19"/>
      <c r="Q23" s="232"/>
      <c r="R23" s="232"/>
      <c r="S23" s="68"/>
      <c r="T23" s="19"/>
      <c r="U23" s="19"/>
      <c r="V23" s="68"/>
      <c r="W23" s="98"/>
      <c r="X23" s="19"/>
      <c r="Y23" s="238"/>
      <c r="Z23" s="64"/>
      <c r="AA23" s="64"/>
      <c r="AB23" s="64"/>
      <c r="AC23" s="64"/>
      <c r="AD23" s="64"/>
      <c r="AE23" s="243"/>
      <c r="AF23" s="244">
        <f t="shared" si="1"/>
        <v>173</v>
      </c>
      <c r="AG23" s="19">
        <f t="shared" si="2"/>
        <v>0</v>
      </c>
    </row>
    <row r="24" spans="2:42">
      <c r="B24" s="225">
        <v>8</v>
      </c>
      <c r="C24" s="24" t="s">
        <v>94</v>
      </c>
      <c r="D24" s="25">
        <f>15000*'PMA PERLOKASI'!D24</f>
        <v>7500</v>
      </c>
      <c r="E24" s="25">
        <f>'PMDN LOKASI'!D24</f>
        <v>76636.800000000003</v>
      </c>
      <c r="F24" s="25">
        <f t="shared" si="0"/>
        <v>84136.8</v>
      </c>
      <c r="G24" s="26">
        <f>+'PMA PERLOKASI'!E24+'PMDN LOKASI'!E24</f>
        <v>92</v>
      </c>
      <c r="H24" s="27">
        <f>+'PMA PERLOKASI'!F24+'PMDN LOKASI'!F24</f>
        <v>0</v>
      </c>
      <c r="I24" s="67">
        <f>+'PMA PERLOKASI'!G24+'PMDN LOKASI'!G24</f>
        <v>72</v>
      </c>
      <c r="J24" s="18"/>
      <c r="K24" s="62"/>
      <c r="L24" s="62"/>
      <c r="M24" s="233"/>
      <c r="N24" s="26"/>
      <c r="O24" s="26"/>
      <c r="P24" s="19"/>
      <c r="Q24" s="232"/>
      <c r="R24" s="232"/>
      <c r="S24" s="68"/>
      <c r="T24" s="19"/>
      <c r="U24" s="19"/>
      <c r="V24" s="68"/>
      <c r="W24" s="98"/>
      <c r="X24" s="19"/>
      <c r="Y24" s="238"/>
      <c r="Z24" s="64"/>
      <c r="AA24" s="64"/>
      <c r="AB24" s="64"/>
      <c r="AC24" s="64"/>
      <c r="AD24" s="64"/>
      <c r="AE24" s="243"/>
      <c r="AF24" s="244">
        <f t="shared" si="1"/>
        <v>92</v>
      </c>
      <c r="AG24" s="19">
        <f t="shared" si="2"/>
        <v>0</v>
      </c>
    </row>
    <row r="25" spans="2:42">
      <c r="B25" s="225">
        <v>9</v>
      </c>
      <c r="C25" s="24" t="s">
        <v>95</v>
      </c>
      <c r="D25" s="25">
        <f>15000*'PMA PERLOKASI'!D25</f>
        <v>5818500</v>
      </c>
      <c r="E25" s="25">
        <f>'PMDN LOKASI'!D25</f>
        <v>1248.8</v>
      </c>
      <c r="F25" s="25">
        <f t="shared" si="0"/>
        <v>5819748.7999999998</v>
      </c>
      <c r="G25" s="26">
        <f>+'PMA PERLOKASI'!E25+'PMDN LOKASI'!E25</f>
        <v>3</v>
      </c>
      <c r="H25" s="27">
        <f>+'PMA PERLOKASI'!F25+'PMDN LOKASI'!F25</f>
        <v>0</v>
      </c>
      <c r="I25" s="67">
        <f>+'PMA PERLOKASI'!G25+'PMDN LOKASI'!G25</f>
        <v>183</v>
      </c>
      <c r="J25" s="18"/>
      <c r="K25" s="62"/>
      <c r="L25" s="62"/>
      <c r="M25" s="233"/>
      <c r="N25" s="26"/>
      <c r="O25" s="26"/>
      <c r="P25" s="19"/>
      <c r="Q25" s="232"/>
      <c r="R25" s="232"/>
      <c r="S25" s="68"/>
      <c r="T25" s="19"/>
      <c r="U25" s="19"/>
      <c r="V25" s="68"/>
      <c r="W25" s="98"/>
      <c r="X25" s="19"/>
      <c r="Y25" s="238"/>
      <c r="Z25" s="64"/>
      <c r="AA25" s="64"/>
      <c r="AB25" s="64"/>
      <c r="AC25" s="64"/>
      <c r="AD25" s="64"/>
      <c r="AE25" s="243"/>
      <c r="AF25" s="244">
        <f t="shared" si="1"/>
        <v>3</v>
      </c>
      <c r="AG25" s="19">
        <f t="shared" si="2"/>
        <v>0</v>
      </c>
      <c r="AL25" t="s">
        <v>96</v>
      </c>
      <c r="AP25" t="s">
        <v>97</v>
      </c>
    </row>
    <row r="26" spans="2:42">
      <c r="B26" s="225">
        <v>10</v>
      </c>
      <c r="C26" s="24" t="s">
        <v>98</v>
      </c>
      <c r="D26" s="25">
        <f>15000*'PMA PERLOKASI'!D26</f>
        <v>102045000</v>
      </c>
      <c r="E26" s="25">
        <f>'PMDN LOKASI'!D26</f>
        <v>11173.2</v>
      </c>
      <c r="F26" s="25">
        <f t="shared" si="0"/>
        <v>102056173.2</v>
      </c>
      <c r="G26" s="26">
        <f>+'PMA PERLOKASI'!E26+'PMDN LOKASI'!E26</f>
        <v>18</v>
      </c>
      <c r="H26" s="27">
        <f>+'PMA PERLOKASI'!F26+'PMDN LOKASI'!F26</f>
        <v>0</v>
      </c>
      <c r="I26" s="67">
        <f>+'PMA PERLOKASI'!G26+'PMDN LOKASI'!G26</f>
        <v>32</v>
      </c>
      <c r="J26" s="18"/>
      <c r="K26" s="62"/>
      <c r="L26" s="62"/>
      <c r="M26" s="233"/>
      <c r="N26" s="26"/>
      <c r="O26" s="26"/>
      <c r="P26" s="19"/>
      <c r="Q26" s="232"/>
      <c r="R26" s="232"/>
      <c r="S26" s="68"/>
      <c r="T26" s="19"/>
      <c r="U26" s="19"/>
      <c r="V26" s="68"/>
      <c r="W26" s="98"/>
      <c r="X26" s="19"/>
      <c r="Y26" s="238"/>
      <c r="Z26" s="64"/>
      <c r="AA26" s="64"/>
      <c r="AB26" s="64"/>
      <c r="AC26" s="64"/>
      <c r="AD26" s="64"/>
      <c r="AE26" s="243"/>
      <c r="AF26" s="244">
        <f t="shared" si="1"/>
        <v>18</v>
      </c>
      <c r="AG26" s="19">
        <f t="shared" si="2"/>
        <v>0</v>
      </c>
      <c r="AL26" t="s">
        <v>99</v>
      </c>
      <c r="AM26" s="129">
        <v>819489.9</v>
      </c>
      <c r="AN26" t="s">
        <v>100</v>
      </c>
    </row>
    <row r="27" spans="2:42">
      <c r="B27" s="225">
        <v>11</v>
      </c>
      <c r="C27" s="24" t="s">
        <v>101</v>
      </c>
      <c r="D27" s="25">
        <f>15000*'PMA PERLOKASI'!D27</f>
        <v>6132000</v>
      </c>
      <c r="E27" s="25">
        <f>'PMDN LOKASI'!D27</f>
        <v>36401.1</v>
      </c>
      <c r="F27" s="25">
        <f t="shared" si="0"/>
        <v>6168401.0999999996</v>
      </c>
      <c r="G27" s="26">
        <f>+'PMA PERLOKASI'!E27+'PMDN LOKASI'!E27</f>
        <v>39</v>
      </c>
      <c r="H27" s="27">
        <f>+'PMA PERLOKASI'!F27+'PMDN LOKASI'!F27</f>
        <v>0</v>
      </c>
      <c r="I27" s="67">
        <f>+'PMA PERLOKASI'!G27+'PMDN LOKASI'!G27</f>
        <v>68</v>
      </c>
      <c r="J27" s="18"/>
      <c r="K27" s="62"/>
      <c r="L27" s="62"/>
      <c r="M27" s="233"/>
      <c r="N27" s="26"/>
      <c r="O27" s="26"/>
      <c r="P27" s="19"/>
      <c r="Q27" s="232"/>
      <c r="R27" s="232"/>
      <c r="S27" s="68"/>
      <c r="T27" s="19"/>
      <c r="U27" s="19"/>
      <c r="V27" s="68"/>
      <c r="W27" s="98"/>
      <c r="X27" s="19"/>
      <c r="Y27" s="238"/>
      <c r="Z27" s="64"/>
      <c r="AA27" s="64"/>
      <c r="AB27" s="64"/>
      <c r="AC27" s="64"/>
      <c r="AD27" s="64"/>
      <c r="AE27" s="243"/>
      <c r="AF27" s="244">
        <f t="shared" si="1"/>
        <v>39</v>
      </c>
      <c r="AG27" s="19">
        <f t="shared" si="2"/>
        <v>0</v>
      </c>
    </row>
    <row r="28" spans="2:42">
      <c r="B28" s="225">
        <v>12</v>
      </c>
      <c r="C28" s="24" t="s">
        <v>102</v>
      </c>
      <c r="D28" s="25">
        <f>15000*'PMA PERLOKASI'!D28</f>
        <v>38484000</v>
      </c>
      <c r="E28" s="25">
        <f>'PMDN LOKASI'!D28</f>
        <v>646348.30000000005</v>
      </c>
      <c r="F28" s="25">
        <f t="shared" si="0"/>
        <v>39130348.299999997</v>
      </c>
      <c r="G28" s="26">
        <f>+'PMA PERLOKASI'!E28+'PMDN LOKASI'!E28</f>
        <v>463</v>
      </c>
      <c r="H28" s="27">
        <f>+'PMA PERLOKASI'!F28+'PMDN LOKASI'!F28</f>
        <v>0</v>
      </c>
      <c r="I28" s="67">
        <f>+'PMA PERLOKASI'!G28+'PMDN LOKASI'!G28</f>
        <v>66</v>
      </c>
      <c r="J28" s="18"/>
      <c r="K28" s="62"/>
      <c r="L28" s="62"/>
      <c r="M28" s="233"/>
      <c r="N28" s="26"/>
      <c r="O28" s="26"/>
      <c r="P28" s="19"/>
      <c r="Q28" s="232"/>
      <c r="R28" s="232"/>
      <c r="S28" s="68"/>
      <c r="T28" s="19"/>
      <c r="U28" s="19"/>
      <c r="V28" s="68"/>
      <c r="W28" s="98"/>
      <c r="X28" s="19"/>
      <c r="Y28" s="238"/>
      <c r="Z28" s="64"/>
      <c r="AA28" s="64"/>
      <c r="AB28" s="64"/>
      <c r="AC28" s="64"/>
      <c r="AD28" s="64"/>
      <c r="AE28" s="243"/>
      <c r="AF28" s="244">
        <f t="shared" si="1"/>
        <v>463</v>
      </c>
      <c r="AG28" s="19">
        <f t="shared" si="2"/>
        <v>0</v>
      </c>
      <c r="AL28" t="s">
        <v>103</v>
      </c>
      <c r="AM28" s="6">
        <v>13331.8</v>
      </c>
      <c r="AN28" t="s">
        <v>104</v>
      </c>
    </row>
    <row r="29" spans="2:42">
      <c r="B29" s="225"/>
      <c r="C29" s="29"/>
      <c r="D29" s="25">
        <f>15000*'PMA PERLOKASI'!D29</f>
        <v>0</v>
      </c>
      <c r="E29" s="25">
        <f>'PMDN LOKASI'!D29</f>
        <v>0</v>
      </c>
      <c r="F29" s="25">
        <f t="shared" si="0"/>
        <v>0</v>
      </c>
      <c r="G29" s="26">
        <f>+'PMA PERLOKASI'!E29+'PMDN LOKASI'!E29</f>
        <v>0</v>
      </c>
      <c r="H29" s="27">
        <f>+'PMA PERLOKASI'!F29+'PMDN LOKASI'!F29</f>
        <v>0</v>
      </c>
      <c r="I29" s="67">
        <f>+'PMA PERLOKASI'!G29+'PMDN LOKASI'!G29</f>
        <v>0</v>
      </c>
      <c r="J29" s="22"/>
      <c r="K29" s="228"/>
      <c r="L29" s="228"/>
      <c r="M29" s="235"/>
      <c r="N29" s="29"/>
      <c r="O29" s="30"/>
      <c r="P29" s="10"/>
      <c r="Q29" s="29"/>
      <c r="R29" s="29"/>
      <c r="S29" s="92"/>
      <c r="T29" s="10"/>
      <c r="U29" s="10"/>
      <c r="V29" s="92"/>
      <c r="W29" s="100"/>
      <c r="X29" s="10"/>
      <c r="Y29" s="239"/>
      <c r="Z29" s="29"/>
      <c r="AA29" s="29"/>
      <c r="AB29" s="29"/>
      <c r="AC29" s="29"/>
      <c r="AD29" s="29"/>
      <c r="AE29" s="243"/>
      <c r="AF29" s="244">
        <f t="shared" si="1"/>
        <v>0</v>
      </c>
      <c r="AG29" s="19">
        <f t="shared" si="2"/>
        <v>0</v>
      </c>
    </row>
    <row r="30" spans="2:42">
      <c r="B30" s="225"/>
      <c r="C30" s="223" t="s">
        <v>105</v>
      </c>
      <c r="D30" s="25">
        <f>15000*'PMA PERLOKASI'!D30</f>
        <v>0</v>
      </c>
      <c r="E30" s="25">
        <f>'PMDN LOKASI'!D30</f>
        <v>0</v>
      </c>
      <c r="F30" s="25">
        <f t="shared" si="0"/>
        <v>0</v>
      </c>
      <c r="G30" s="26">
        <f>+'PMA PERLOKASI'!E30+'PMDN LOKASI'!E30</f>
        <v>0</v>
      </c>
      <c r="H30" s="27">
        <f>+'PMA PERLOKASI'!F30+'PMDN LOKASI'!F30</f>
        <v>0</v>
      </c>
      <c r="I30" s="67">
        <f>+'PMA PERLOKASI'!G30+'PMDN LOKASI'!G30</f>
        <v>0</v>
      </c>
      <c r="J30" s="22"/>
      <c r="K30" s="228"/>
      <c r="L30" s="62"/>
      <c r="M30" s="235"/>
      <c r="N30" s="29"/>
      <c r="O30" s="65"/>
      <c r="P30" s="10"/>
      <c r="Q30" s="29"/>
      <c r="R30" s="64"/>
      <c r="S30" s="92"/>
      <c r="T30" s="10"/>
      <c r="U30" s="19"/>
      <c r="V30" s="92"/>
      <c r="W30" s="100"/>
      <c r="X30" s="19"/>
      <c r="Y30" s="239"/>
      <c r="Z30" s="29"/>
      <c r="AA30" s="64"/>
      <c r="AB30" s="64"/>
      <c r="AC30" s="64"/>
      <c r="AD30" s="64"/>
      <c r="AE30" s="243"/>
      <c r="AF30" s="244">
        <f t="shared" si="1"/>
        <v>0</v>
      </c>
      <c r="AG30" s="19">
        <f t="shared" si="2"/>
        <v>0</v>
      </c>
    </row>
    <row r="31" spans="2:42">
      <c r="B31" s="225">
        <v>13</v>
      </c>
      <c r="C31" s="24" t="s">
        <v>106</v>
      </c>
      <c r="D31" s="25">
        <f>15000*'PMA PERLOKASI'!D31</f>
        <v>106233000</v>
      </c>
      <c r="E31" s="25">
        <f>'PMDN LOKASI'!D31</f>
        <v>196187.8</v>
      </c>
      <c r="F31" s="25">
        <f t="shared" si="0"/>
        <v>106429187.8</v>
      </c>
      <c r="G31" s="26">
        <f>+'PMA PERLOKASI'!E31+'PMDN LOKASI'!E31</f>
        <v>1083</v>
      </c>
      <c r="H31" s="27">
        <f>+'PMA PERLOKASI'!F31+'PMDN LOKASI'!F31</f>
        <v>0</v>
      </c>
      <c r="I31" s="67">
        <f>+'PMA PERLOKASI'!G31+'PMDN LOKASI'!G31</f>
        <v>835</v>
      </c>
      <c r="J31" s="18"/>
      <c r="K31" s="62"/>
      <c r="L31" s="62"/>
      <c r="M31" s="233"/>
      <c r="N31" s="64"/>
      <c r="O31" s="65"/>
      <c r="P31" s="19"/>
      <c r="Q31" s="64"/>
      <c r="R31" s="64"/>
      <c r="S31" s="68"/>
      <c r="T31" s="19"/>
      <c r="U31" s="19"/>
      <c r="V31" s="68"/>
      <c r="W31" s="98"/>
      <c r="X31" s="19"/>
      <c r="Y31" s="238"/>
      <c r="Z31" s="64"/>
      <c r="AA31" s="64"/>
      <c r="AB31" s="64"/>
      <c r="AC31" s="64"/>
      <c r="AD31" s="64"/>
      <c r="AE31" s="243"/>
      <c r="AF31" s="244">
        <f t="shared" si="1"/>
        <v>1083</v>
      </c>
      <c r="AG31" s="19">
        <f t="shared" si="2"/>
        <v>0</v>
      </c>
    </row>
    <row r="32" spans="2:42">
      <c r="B32" s="225">
        <v>14</v>
      </c>
      <c r="C32" s="24" t="s">
        <v>89</v>
      </c>
      <c r="D32" s="25">
        <f>15000*'PMA PERLOKASI'!D32</f>
        <v>0</v>
      </c>
      <c r="E32" s="25">
        <f>'PMDN LOKASI'!D32</f>
        <v>743</v>
      </c>
      <c r="F32" s="25">
        <f t="shared" si="0"/>
        <v>743</v>
      </c>
      <c r="G32" s="26">
        <f>+'PMA PERLOKASI'!E32+'PMDN LOKASI'!E32</f>
        <v>8</v>
      </c>
      <c r="H32" s="27">
        <f>+'PMA PERLOKASI'!F32+'PMDN LOKASI'!F32</f>
        <v>0</v>
      </c>
      <c r="I32" s="67">
        <f>+'PMA PERLOKASI'!G32+'PMDN LOKASI'!G32</f>
        <v>19</v>
      </c>
      <c r="J32" s="18"/>
      <c r="K32" s="62"/>
      <c r="L32" s="62"/>
      <c r="M32" s="234"/>
      <c r="N32" s="26"/>
      <c r="O32" s="26"/>
      <c r="P32" s="19"/>
      <c r="Q32" s="64"/>
      <c r="R32" s="64"/>
      <c r="S32" s="59"/>
      <c r="T32" s="59"/>
      <c r="U32" s="59"/>
      <c r="V32" s="68"/>
      <c r="W32" s="98"/>
      <c r="X32" s="19"/>
      <c r="Y32" s="238"/>
      <c r="Z32" s="64"/>
      <c r="AA32" s="64"/>
      <c r="AB32" s="64"/>
      <c r="AC32" s="64"/>
      <c r="AD32" s="64"/>
      <c r="AE32" s="243"/>
      <c r="AF32" s="244">
        <f t="shared" si="1"/>
        <v>8</v>
      </c>
      <c r="AG32" s="19">
        <f t="shared" si="2"/>
        <v>0</v>
      </c>
    </row>
    <row r="33" spans="2:37">
      <c r="B33" s="225">
        <v>15</v>
      </c>
      <c r="C33" s="24" t="s">
        <v>107</v>
      </c>
      <c r="D33" s="25">
        <f>15000*'PMA PERLOKASI'!D33</f>
        <v>0</v>
      </c>
      <c r="E33" s="25">
        <f>'PMDN LOKASI'!D33</f>
        <v>18451.900000000001</v>
      </c>
      <c r="F33" s="25">
        <f t="shared" si="0"/>
        <v>18451.900000000001</v>
      </c>
      <c r="G33" s="26">
        <f>+'PMA PERLOKASI'!E33+'PMDN LOKASI'!E33</f>
        <v>29</v>
      </c>
      <c r="H33" s="27">
        <f>+'PMA PERLOKASI'!F33+'PMDN LOKASI'!F33</f>
        <v>0</v>
      </c>
      <c r="I33" s="67">
        <f>+'PMA PERLOKASI'!G33+'PMDN LOKASI'!G33</f>
        <v>56</v>
      </c>
      <c r="J33" s="18"/>
      <c r="K33" s="62"/>
      <c r="L33" s="62"/>
      <c r="M33" s="234"/>
      <c r="N33" s="26"/>
      <c r="O33" s="26"/>
      <c r="P33" s="19"/>
      <c r="Q33" s="64"/>
      <c r="R33" s="64"/>
      <c r="S33" s="59"/>
      <c r="T33" s="59"/>
      <c r="U33" s="59"/>
      <c r="V33" s="68"/>
      <c r="W33" s="98"/>
      <c r="X33" s="19"/>
      <c r="Y33" s="238"/>
      <c r="Z33" s="64"/>
      <c r="AA33" s="64"/>
      <c r="AB33" s="64"/>
      <c r="AC33" s="64"/>
      <c r="AD33" s="64"/>
      <c r="AE33" s="243"/>
      <c r="AF33" s="244">
        <f t="shared" si="1"/>
        <v>29</v>
      </c>
      <c r="AG33" s="19">
        <f t="shared" si="2"/>
        <v>0</v>
      </c>
    </row>
    <row r="34" spans="2:37" ht="15" customHeight="1">
      <c r="B34" s="225">
        <v>16</v>
      </c>
      <c r="C34" s="24" t="s">
        <v>108</v>
      </c>
      <c r="D34" s="25">
        <f>15000*'PMA PERLOKASI'!D34</f>
        <v>0</v>
      </c>
      <c r="E34" s="25">
        <f>'PMDN LOKASI'!D34</f>
        <v>2402.9</v>
      </c>
      <c r="F34" s="25">
        <f t="shared" si="0"/>
        <v>2402.9</v>
      </c>
      <c r="G34" s="26">
        <f>+'PMA PERLOKASI'!E34+'PMDN LOKASI'!E34</f>
        <v>9</v>
      </c>
      <c r="H34" s="27">
        <f>+'PMA PERLOKASI'!F34+'PMDN LOKASI'!F34</f>
        <v>0</v>
      </c>
      <c r="I34" s="67">
        <f>+'PMA PERLOKASI'!G34+'PMDN LOKASI'!G34</f>
        <v>32</v>
      </c>
      <c r="J34" s="18"/>
      <c r="K34" s="62"/>
      <c r="L34" s="62"/>
      <c r="M34" s="234"/>
      <c r="N34" s="26"/>
      <c r="O34" s="26"/>
      <c r="P34" s="19"/>
      <c r="Q34" s="64"/>
      <c r="R34" s="64"/>
      <c r="S34" s="59"/>
      <c r="T34" s="19"/>
      <c r="U34" s="19"/>
      <c r="V34" s="68"/>
      <c r="W34" s="98"/>
      <c r="X34" s="19"/>
      <c r="Y34" s="238"/>
      <c r="Z34" s="64"/>
      <c r="AA34" s="64"/>
      <c r="AB34" s="64"/>
      <c r="AC34" s="64"/>
      <c r="AD34" s="64"/>
      <c r="AE34" s="243"/>
      <c r="AF34" s="244">
        <f t="shared" si="1"/>
        <v>9</v>
      </c>
      <c r="AG34" s="19">
        <f t="shared" si="2"/>
        <v>0</v>
      </c>
      <c r="AK34" s="206">
        <f>+D39+J39</f>
        <v>303214500</v>
      </c>
    </row>
    <row r="35" spans="2:37">
      <c r="B35" s="225">
        <v>17</v>
      </c>
      <c r="C35" s="24" t="s">
        <v>109</v>
      </c>
      <c r="D35" s="25">
        <f>15000*'PMA PERLOKASI'!D35</f>
        <v>0</v>
      </c>
      <c r="E35" s="25">
        <f>'PMDN LOKASI'!D35</f>
        <v>324.39999999999998</v>
      </c>
      <c r="F35" s="25">
        <f t="shared" si="0"/>
        <v>324.39999999999998</v>
      </c>
      <c r="G35" s="26">
        <f>+'PMA PERLOKASI'!E35+'PMDN LOKASI'!E35</f>
        <v>12</v>
      </c>
      <c r="H35" s="27">
        <f>+'PMA PERLOKASI'!F35+'PMDN LOKASI'!F35</f>
        <v>0</v>
      </c>
      <c r="I35" s="67">
        <f>+'PMA PERLOKASI'!G35+'PMDN LOKASI'!G35</f>
        <v>17</v>
      </c>
      <c r="J35" s="18"/>
      <c r="K35" s="62"/>
      <c r="L35" s="62"/>
      <c r="M35" s="234"/>
      <c r="N35" s="26"/>
      <c r="O35" s="26"/>
      <c r="P35" s="19"/>
      <c r="Q35" s="64"/>
      <c r="R35" s="64"/>
      <c r="S35" s="59"/>
      <c r="T35" s="59"/>
      <c r="U35" s="59"/>
      <c r="V35" s="68"/>
      <c r="W35" s="98"/>
      <c r="X35" s="19"/>
      <c r="Y35" s="238"/>
      <c r="Z35" s="64"/>
      <c r="AA35" s="64"/>
      <c r="AB35" s="64"/>
      <c r="AC35" s="64"/>
      <c r="AD35" s="64"/>
      <c r="AE35" s="243"/>
      <c r="AF35" s="244">
        <f t="shared" si="1"/>
        <v>12</v>
      </c>
      <c r="AG35" s="19">
        <f t="shared" si="2"/>
        <v>0</v>
      </c>
    </row>
    <row r="36" spans="2:37">
      <c r="B36" s="225">
        <v>18</v>
      </c>
      <c r="C36" s="24" t="s">
        <v>110</v>
      </c>
      <c r="D36" s="25">
        <f>15000*'PMA PERLOKASI'!D36</f>
        <v>0</v>
      </c>
      <c r="E36" s="25">
        <f>'PMDN LOKASI'!D36</f>
        <v>8312.2000000000007</v>
      </c>
      <c r="F36" s="25">
        <f t="shared" si="0"/>
        <v>8312.2000000000007</v>
      </c>
      <c r="G36" s="26">
        <f>+'PMA PERLOKASI'!E36+'PMDN LOKASI'!E36</f>
        <v>12</v>
      </c>
      <c r="H36" s="27">
        <f>+'PMA PERLOKASI'!F36+'PMDN LOKASI'!F36</f>
        <v>0</v>
      </c>
      <c r="I36" s="67">
        <f>+'PMA PERLOKASI'!G36+'PMDN LOKASI'!G36</f>
        <v>22</v>
      </c>
      <c r="J36" s="18"/>
      <c r="K36" s="62"/>
      <c r="L36" s="62"/>
      <c r="M36" s="234"/>
      <c r="N36" s="26"/>
      <c r="O36" s="26"/>
      <c r="P36" s="19"/>
      <c r="Q36" s="64"/>
      <c r="R36" s="64"/>
      <c r="S36" s="59"/>
      <c r="T36" s="59"/>
      <c r="U36" s="59"/>
      <c r="V36" s="68"/>
      <c r="W36" s="98"/>
      <c r="X36" s="19"/>
      <c r="Y36" s="238"/>
      <c r="Z36" s="64"/>
      <c r="AA36" s="64"/>
      <c r="AB36" s="64"/>
      <c r="AC36" s="64"/>
      <c r="AD36" s="64"/>
      <c r="AE36" s="243"/>
      <c r="AF36" s="244">
        <f t="shared" si="1"/>
        <v>12</v>
      </c>
      <c r="AG36" s="19">
        <f t="shared" si="2"/>
        <v>0</v>
      </c>
    </row>
    <row r="37" spans="2:37">
      <c r="B37" s="225">
        <v>19</v>
      </c>
      <c r="C37" s="24" t="s">
        <v>111</v>
      </c>
      <c r="D37" s="25">
        <f>15000*'PMA PERLOKASI'!D37</f>
        <v>0</v>
      </c>
      <c r="E37" s="25">
        <f>'PMDN LOKASI'!D37</f>
        <v>703.2</v>
      </c>
      <c r="F37" s="25">
        <f t="shared" si="0"/>
        <v>703.2</v>
      </c>
      <c r="G37" s="26">
        <f>+'PMA PERLOKASI'!E37+'PMDN LOKASI'!E37</f>
        <v>53</v>
      </c>
      <c r="H37" s="27">
        <f>+'PMA PERLOKASI'!F37+'PMDN LOKASI'!F37</f>
        <v>0</v>
      </c>
      <c r="I37" s="67">
        <f>+'PMA PERLOKASI'!G37+'PMDN LOKASI'!G37</f>
        <v>14</v>
      </c>
      <c r="J37" s="18"/>
      <c r="K37" s="62"/>
      <c r="L37" s="62"/>
      <c r="M37" s="234"/>
      <c r="N37" s="26"/>
      <c r="O37" s="26"/>
      <c r="P37" s="19"/>
      <c r="Q37" s="64"/>
      <c r="R37" s="64"/>
      <c r="S37" s="59"/>
      <c r="T37" s="59"/>
      <c r="U37" s="59"/>
      <c r="V37" s="68"/>
      <c r="W37" s="98"/>
      <c r="X37" s="19"/>
      <c r="Y37" s="238"/>
      <c r="Z37" s="64"/>
      <c r="AA37" s="64"/>
      <c r="AB37" s="64"/>
      <c r="AC37" s="64"/>
      <c r="AD37" s="64"/>
      <c r="AE37" s="243"/>
      <c r="AF37" s="244">
        <f t="shared" si="1"/>
        <v>53</v>
      </c>
      <c r="AG37" s="19">
        <f t="shared" si="2"/>
        <v>0</v>
      </c>
    </row>
    <row r="38" spans="2:37">
      <c r="B38" s="29"/>
      <c r="C38" s="29"/>
      <c r="D38" s="25"/>
      <c r="E38" s="25"/>
      <c r="F38" s="25"/>
      <c r="G38" s="29"/>
      <c r="H38" s="27">
        <f>+'PMA PERLOKASI'!F38+'PMDN LOKASI'!F38</f>
        <v>0</v>
      </c>
      <c r="I38" s="67"/>
      <c r="J38" s="10"/>
      <c r="K38" s="69"/>
      <c r="L38" s="69"/>
      <c r="M38" s="236"/>
      <c r="N38" s="29"/>
      <c r="O38" s="29"/>
      <c r="P38" s="29"/>
      <c r="Q38" s="29"/>
      <c r="R38" s="29"/>
      <c r="S38" s="29"/>
      <c r="T38" s="29"/>
      <c r="U38" s="29"/>
      <c r="V38" s="10"/>
      <c r="W38" s="10"/>
      <c r="X38" s="10"/>
      <c r="Y38" s="239"/>
      <c r="Z38" s="29"/>
      <c r="AA38" s="29"/>
      <c r="AB38" s="29"/>
      <c r="AC38" s="29"/>
      <c r="AD38" s="29"/>
      <c r="AE38" s="243"/>
      <c r="AF38" s="245"/>
      <c r="AG38" s="10"/>
    </row>
    <row r="39" spans="2:37">
      <c r="B39" s="367" t="s">
        <v>112</v>
      </c>
      <c r="C39" s="367"/>
      <c r="D39" s="229">
        <f>SUM(D17:D38)</f>
        <v>303214500</v>
      </c>
      <c r="E39" s="229">
        <f>SUM(E17:E38)</f>
        <v>1535114.3799999997</v>
      </c>
      <c r="F39" s="229">
        <f>SUM(F17:F38)</f>
        <v>304749614.37999988</v>
      </c>
      <c r="G39" s="229">
        <f t="shared" ref="G39:J39" si="3">SUM(G17:G37)</f>
        <v>2105</v>
      </c>
      <c r="H39" s="229">
        <f t="shared" si="3"/>
        <v>1</v>
      </c>
      <c r="I39" s="229">
        <f t="shared" si="3"/>
        <v>1844</v>
      </c>
      <c r="J39" s="229">
        <f t="shared" si="3"/>
        <v>0</v>
      </c>
      <c r="K39" s="229">
        <f t="shared" ref="K39:R39" si="4">SUM(K17:K37)</f>
        <v>0</v>
      </c>
      <c r="L39" s="229">
        <f t="shared" si="4"/>
        <v>0</v>
      </c>
      <c r="M39" s="237">
        <f>SUM(M17:M38)</f>
        <v>0</v>
      </c>
      <c r="N39" s="229">
        <f t="shared" si="4"/>
        <v>0</v>
      </c>
      <c r="O39" s="229">
        <f t="shared" si="4"/>
        <v>0</v>
      </c>
      <c r="P39" s="229">
        <f t="shared" si="4"/>
        <v>0</v>
      </c>
      <c r="Q39" s="229">
        <f t="shared" si="4"/>
        <v>0</v>
      </c>
      <c r="R39" s="229">
        <f t="shared" si="4"/>
        <v>0</v>
      </c>
      <c r="S39" s="229">
        <f t="shared" ref="S39:AA39" si="5">SUM(S17:S37)</f>
        <v>0</v>
      </c>
      <c r="T39" s="229">
        <f t="shared" si="5"/>
        <v>0</v>
      </c>
      <c r="U39" s="229">
        <f t="shared" si="5"/>
        <v>0</v>
      </c>
      <c r="V39" s="229">
        <f t="shared" si="5"/>
        <v>0</v>
      </c>
      <c r="W39" s="229">
        <f t="shared" si="5"/>
        <v>0</v>
      </c>
      <c r="X39" s="229">
        <f t="shared" si="5"/>
        <v>0</v>
      </c>
      <c r="Y39" s="229">
        <f t="shared" si="5"/>
        <v>0</v>
      </c>
      <c r="Z39" s="229">
        <f t="shared" si="5"/>
        <v>0</v>
      </c>
      <c r="AA39" s="229">
        <f t="shared" si="5"/>
        <v>0</v>
      </c>
      <c r="AB39" s="229"/>
      <c r="AC39" s="229"/>
      <c r="AD39" s="229"/>
      <c r="AE39" s="246">
        <f>SUM(AE17:AE38)</f>
        <v>0</v>
      </c>
      <c r="AF39" s="246">
        <f t="shared" ref="AF39:AG39" si="6">SUM(AF17:AF38)</f>
        <v>2105</v>
      </c>
      <c r="AG39" s="246">
        <f t="shared" si="6"/>
        <v>1</v>
      </c>
    </row>
    <row r="41" spans="2:37" hidden="1">
      <c r="B41" s="35">
        <v>2021</v>
      </c>
      <c r="C41" t="s">
        <v>38</v>
      </c>
    </row>
    <row r="42" spans="2:37" hidden="1">
      <c r="B42" s="348" t="s">
        <v>37</v>
      </c>
      <c r="C42" s="349" t="s">
        <v>38</v>
      </c>
      <c r="D42" s="36"/>
      <c r="E42" s="314"/>
      <c r="F42" s="314"/>
      <c r="G42" s="36"/>
      <c r="H42" s="36"/>
      <c r="I42" s="314"/>
      <c r="J42" s="355" t="s">
        <v>39</v>
      </c>
      <c r="K42" s="355"/>
      <c r="L42" s="356"/>
      <c r="M42" s="357" t="s">
        <v>40</v>
      </c>
      <c r="N42" s="355"/>
      <c r="O42" s="358"/>
      <c r="P42" s="72"/>
      <c r="Q42" s="72"/>
      <c r="R42" s="72"/>
      <c r="S42" s="359" t="s">
        <v>41</v>
      </c>
      <c r="T42" s="355"/>
      <c r="U42" s="356"/>
      <c r="V42" s="72"/>
      <c r="W42" s="72"/>
      <c r="X42" s="72"/>
      <c r="Y42" s="357" t="s">
        <v>42</v>
      </c>
      <c r="Z42" s="355"/>
      <c r="AA42" s="358"/>
      <c r="AB42" s="72"/>
      <c r="AC42" s="72"/>
      <c r="AD42" s="72"/>
      <c r="AE42" s="359" t="s">
        <v>43</v>
      </c>
      <c r="AF42" s="355"/>
      <c r="AG42" s="355"/>
    </row>
    <row r="43" spans="2:37" hidden="1">
      <c r="B43" s="348"/>
      <c r="C43" s="349"/>
      <c r="D43" s="38"/>
      <c r="E43" s="38"/>
      <c r="F43" s="38"/>
      <c r="G43" s="38"/>
      <c r="H43" s="38"/>
      <c r="I43" s="38"/>
      <c r="J43" s="39" t="s">
        <v>44</v>
      </c>
      <c r="K43" s="343" t="s">
        <v>45</v>
      </c>
      <c r="L43" s="352"/>
      <c r="M43" s="39" t="s">
        <v>44</v>
      </c>
      <c r="N43" s="343" t="s">
        <v>45</v>
      </c>
      <c r="O43" s="352"/>
      <c r="P43" s="75"/>
      <c r="Q43" s="75"/>
      <c r="R43" s="75"/>
      <c r="S43" s="39" t="s">
        <v>44</v>
      </c>
      <c r="T43" s="343" t="s">
        <v>45</v>
      </c>
      <c r="U43" s="352"/>
      <c r="V43" s="75"/>
      <c r="W43" s="75"/>
      <c r="X43" s="75"/>
      <c r="Y43" s="39" t="s">
        <v>44</v>
      </c>
      <c r="Z43" s="343" t="s">
        <v>45</v>
      </c>
      <c r="AA43" s="352"/>
      <c r="AB43" s="75"/>
      <c r="AC43" s="75"/>
      <c r="AD43" s="75"/>
      <c r="AE43" s="39" t="s">
        <v>44</v>
      </c>
      <c r="AF43" s="343" t="s">
        <v>45</v>
      </c>
      <c r="AG43" s="352"/>
    </row>
    <row r="44" spans="2:37" hidden="1">
      <c r="B44" s="348"/>
      <c r="C44" s="349"/>
      <c r="D44" s="38"/>
      <c r="E44" s="38"/>
      <c r="F44" s="38"/>
      <c r="G44" s="38"/>
      <c r="H44" s="38"/>
      <c r="I44" s="38"/>
      <c r="J44" s="39" t="s">
        <v>47</v>
      </c>
      <c r="K44" s="73" t="s">
        <v>48</v>
      </c>
      <c r="L44" s="74" t="s">
        <v>49</v>
      </c>
      <c r="M44" s="39" t="s">
        <v>47</v>
      </c>
      <c r="N44" s="73" t="s">
        <v>48</v>
      </c>
      <c r="O44" s="74" t="s">
        <v>49</v>
      </c>
      <c r="P44" s="75"/>
      <c r="Q44" s="75"/>
      <c r="R44" s="75"/>
      <c r="S44" s="39" t="s">
        <v>47</v>
      </c>
      <c r="T44" s="73" t="s">
        <v>48</v>
      </c>
      <c r="U44" s="74" t="s">
        <v>49</v>
      </c>
      <c r="V44" s="75"/>
      <c r="W44" s="75"/>
      <c r="X44" s="75"/>
      <c r="Y44" s="39" t="s">
        <v>47</v>
      </c>
      <c r="Z44" s="73" t="s">
        <v>48</v>
      </c>
      <c r="AA44" s="74" t="s">
        <v>49</v>
      </c>
      <c r="AB44" s="75"/>
      <c r="AC44" s="75"/>
      <c r="AD44" s="75"/>
      <c r="AE44" s="39" t="s">
        <v>47</v>
      </c>
      <c r="AF44" s="73" t="s">
        <v>48</v>
      </c>
      <c r="AG44" s="74" t="s">
        <v>49</v>
      </c>
    </row>
    <row r="45" spans="2:37" hidden="1">
      <c r="B45" s="40"/>
      <c r="C45" s="41"/>
      <c r="D45" s="42"/>
      <c r="E45" s="42"/>
      <c r="F45" s="42"/>
      <c r="G45" s="42"/>
      <c r="H45" s="42"/>
      <c r="I45" s="42"/>
      <c r="J45" s="43"/>
      <c r="K45" s="53"/>
      <c r="L45" s="76"/>
      <c r="M45" s="43"/>
      <c r="N45" s="53"/>
      <c r="O45" s="76"/>
      <c r="P45" s="77"/>
      <c r="Q45" s="77"/>
      <c r="R45" s="77"/>
      <c r="S45" s="43"/>
      <c r="T45" s="53"/>
      <c r="U45" s="76"/>
      <c r="V45" s="77"/>
      <c r="W45" s="77"/>
      <c r="X45" s="77"/>
      <c r="Y45" s="43"/>
      <c r="Z45" s="53"/>
      <c r="AA45" s="76"/>
      <c r="AB45" s="77"/>
      <c r="AC45" s="77"/>
      <c r="AD45" s="77"/>
      <c r="AE45" s="43"/>
      <c r="AF45" s="53"/>
      <c r="AG45" s="76"/>
    </row>
    <row r="46" spans="2:37" hidden="1">
      <c r="B46" s="40" t="s">
        <v>50</v>
      </c>
      <c r="C46" s="44" t="s">
        <v>51</v>
      </c>
      <c r="D46" s="45"/>
      <c r="E46" s="45"/>
      <c r="F46" s="45"/>
      <c r="G46" s="45"/>
      <c r="H46" s="45"/>
      <c r="I46" s="45"/>
      <c r="J46" s="46">
        <f t="shared" ref="J46:O46" si="7">SUM(J47:J50)</f>
        <v>31477.5</v>
      </c>
      <c r="K46" s="78">
        <f t="shared" si="7"/>
        <v>61</v>
      </c>
      <c r="L46" s="79">
        <f t="shared" si="7"/>
        <v>0</v>
      </c>
      <c r="M46" s="46">
        <f t="shared" si="7"/>
        <v>343135.4</v>
      </c>
      <c r="N46" s="78">
        <f t="shared" si="7"/>
        <v>69</v>
      </c>
      <c r="O46" s="79">
        <f t="shared" si="7"/>
        <v>0</v>
      </c>
      <c r="P46" s="81"/>
      <c r="Q46" s="81"/>
      <c r="R46" s="81"/>
      <c r="S46" s="46">
        <f t="shared" ref="S46:AG46" si="8">SUM(S47:S50)</f>
        <v>105381.6</v>
      </c>
      <c r="T46" s="46">
        <f t="shared" si="8"/>
        <v>133</v>
      </c>
      <c r="U46" s="46">
        <f t="shared" si="8"/>
        <v>0</v>
      </c>
      <c r="V46" s="46"/>
      <c r="W46" s="46"/>
      <c r="X46" s="46"/>
      <c r="Y46" s="46">
        <f t="shared" si="8"/>
        <v>154406.1</v>
      </c>
      <c r="Z46" s="78">
        <f t="shared" si="8"/>
        <v>242</v>
      </c>
      <c r="AA46" s="79">
        <f t="shared" si="8"/>
        <v>0</v>
      </c>
      <c r="AB46" s="80"/>
      <c r="AC46" s="80"/>
      <c r="AD46" s="80"/>
      <c r="AE46" s="46">
        <f t="shared" si="8"/>
        <v>634400.6</v>
      </c>
      <c r="AF46" s="78">
        <f t="shared" si="8"/>
        <v>505</v>
      </c>
      <c r="AG46" s="79">
        <f t="shared" si="8"/>
        <v>0</v>
      </c>
    </row>
    <row r="47" spans="2:37" ht="42.75" hidden="1">
      <c r="B47" s="47">
        <v>1</v>
      </c>
      <c r="C47" s="48" t="s">
        <v>52</v>
      </c>
      <c r="D47" s="49"/>
      <c r="E47" s="49"/>
      <c r="F47" s="49"/>
      <c r="G47" s="49"/>
      <c r="H47" s="49"/>
      <c r="I47" s="49"/>
      <c r="J47" s="50">
        <v>26350.1</v>
      </c>
      <c r="K47" s="82">
        <v>38</v>
      </c>
      <c r="L47" s="83">
        <v>0</v>
      </c>
      <c r="M47" s="56">
        <v>340535.3</v>
      </c>
      <c r="N47" s="47">
        <v>67</v>
      </c>
      <c r="O47" s="85">
        <v>0</v>
      </c>
      <c r="P47" s="87"/>
      <c r="Q47" s="87"/>
      <c r="R47" s="87"/>
      <c r="S47" s="94">
        <v>102735.7</v>
      </c>
      <c r="T47" s="101">
        <v>106</v>
      </c>
      <c r="U47" s="102">
        <v>0</v>
      </c>
      <c r="V47" s="89"/>
      <c r="W47" s="89"/>
      <c r="X47" s="89"/>
      <c r="Y47" s="56">
        <v>95019.9</v>
      </c>
      <c r="Z47" s="47">
        <v>207</v>
      </c>
      <c r="AA47" s="85">
        <v>0</v>
      </c>
      <c r="AB47" s="86"/>
      <c r="AC47" s="86"/>
      <c r="AD47" s="86"/>
      <c r="AE47" s="56">
        <f t="shared" ref="AE47:AG50" si="9">J47+M47+S47+Y47</f>
        <v>564641</v>
      </c>
      <c r="AF47" s="47">
        <f t="shared" si="9"/>
        <v>418</v>
      </c>
      <c r="AG47" s="85">
        <f t="shared" si="9"/>
        <v>0</v>
      </c>
    </row>
    <row r="48" spans="2:37" hidden="1">
      <c r="B48" s="47">
        <v>3</v>
      </c>
      <c r="C48" s="48" t="s">
        <v>53</v>
      </c>
      <c r="D48" s="49"/>
      <c r="E48" s="49"/>
      <c r="F48" s="49"/>
      <c r="G48" s="49"/>
      <c r="H48" s="49"/>
      <c r="I48" s="49"/>
      <c r="J48" s="50">
        <v>0</v>
      </c>
      <c r="K48" s="82">
        <v>0</v>
      </c>
      <c r="L48" s="83">
        <v>0</v>
      </c>
      <c r="M48" s="50">
        <v>1021.2</v>
      </c>
      <c r="N48" s="82"/>
      <c r="O48" s="83"/>
      <c r="P48" s="88"/>
      <c r="Q48" s="88"/>
      <c r="R48" s="88"/>
      <c r="S48" s="95">
        <v>234.8</v>
      </c>
      <c r="T48" s="103">
        <v>0</v>
      </c>
      <c r="U48" s="104">
        <v>0</v>
      </c>
      <c r="V48" s="105"/>
      <c r="W48" s="105"/>
      <c r="X48" s="105"/>
      <c r="Y48" s="210">
        <v>1895.5</v>
      </c>
      <c r="Z48" s="208"/>
      <c r="AA48" s="209">
        <v>0</v>
      </c>
      <c r="AB48" s="120"/>
      <c r="AC48" s="120"/>
      <c r="AD48" s="120"/>
      <c r="AE48" s="56">
        <f t="shared" si="9"/>
        <v>3151.5</v>
      </c>
      <c r="AF48" s="47">
        <f t="shared" si="9"/>
        <v>0</v>
      </c>
      <c r="AG48" s="85">
        <f t="shared" si="9"/>
        <v>0</v>
      </c>
    </row>
    <row r="49" spans="2:33" hidden="1">
      <c r="B49" s="47">
        <v>4</v>
      </c>
      <c r="C49" s="48" t="s">
        <v>54</v>
      </c>
      <c r="D49" s="49"/>
      <c r="E49" s="49"/>
      <c r="F49" s="49"/>
      <c r="G49" s="49"/>
      <c r="H49" s="49"/>
      <c r="I49" s="49"/>
      <c r="J49" s="50">
        <v>0</v>
      </c>
      <c r="K49" s="82">
        <v>0</v>
      </c>
      <c r="L49" s="83">
        <v>0</v>
      </c>
      <c r="M49" s="50"/>
      <c r="N49" s="82"/>
      <c r="O49" s="83"/>
      <c r="P49" s="88"/>
      <c r="Q49" s="88"/>
      <c r="R49" s="88"/>
      <c r="S49" s="95"/>
      <c r="T49" s="103"/>
      <c r="U49" s="104"/>
      <c r="V49" s="105"/>
      <c r="W49" s="105"/>
      <c r="X49" s="105"/>
      <c r="Y49" s="210"/>
      <c r="Z49" s="208"/>
      <c r="AA49" s="209"/>
      <c r="AB49" s="120"/>
      <c r="AC49" s="120"/>
      <c r="AD49" s="120"/>
      <c r="AE49" s="56">
        <f t="shared" si="9"/>
        <v>0</v>
      </c>
      <c r="AF49" s="47">
        <f t="shared" si="9"/>
        <v>0</v>
      </c>
      <c r="AG49" s="85">
        <f t="shared" si="9"/>
        <v>0</v>
      </c>
    </row>
    <row r="50" spans="2:33" hidden="1">
      <c r="B50" s="47">
        <v>5</v>
      </c>
      <c r="C50" s="48" t="s">
        <v>55</v>
      </c>
      <c r="D50" s="49"/>
      <c r="E50" s="49"/>
      <c r="F50" s="49"/>
      <c r="G50" s="49"/>
      <c r="H50" s="49"/>
      <c r="I50" s="49"/>
      <c r="J50" s="50">
        <v>5127.3999999999996</v>
      </c>
      <c r="K50" s="82">
        <v>23</v>
      </c>
      <c r="L50" s="83">
        <v>0</v>
      </c>
      <c r="M50" s="50">
        <v>1578.9</v>
      </c>
      <c r="N50" s="82">
        <v>2</v>
      </c>
      <c r="O50" s="83">
        <v>0</v>
      </c>
      <c r="P50" s="88"/>
      <c r="Q50" s="88"/>
      <c r="R50" s="88"/>
      <c r="S50" s="95">
        <v>2411.1</v>
      </c>
      <c r="T50" s="103">
        <v>27</v>
      </c>
      <c r="U50" s="104">
        <v>0</v>
      </c>
      <c r="V50" s="105"/>
      <c r="W50" s="105"/>
      <c r="X50" s="105"/>
      <c r="Y50" s="210">
        <v>57490.7</v>
      </c>
      <c r="Z50" s="208">
        <v>35</v>
      </c>
      <c r="AA50" s="209">
        <v>0</v>
      </c>
      <c r="AB50" s="120"/>
      <c r="AC50" s="120"/>
      <c r="AD50" s="120"/>
      <c r="AE50" s="56">
        <f t="shared" si="9"/>
        <v>66608.100000000006</v>
      </c>
      <c r="AF50" s="47">
        <f t="shared" si="9"/>
        <v>87</v>
      </c>
      <c r="AG50" s="85">
        <f t="shared" si="9"/>
        <v>0</v>
      </c>
    </row>
    <row r="51" spans="2:33" hidden="1">
      <c r="B51" s="51"/>
      <c r="C51" s="48"/>
      <c r="D51" s="49"/>
      <c r="E51" s="49"/>
      <c r="F51" s="49"/>
      <c r="G51" s="49"/>
      <c r="H51" s="49"/>
      <c r="I51" s="49"/>
      <c r="J51" s="52"/>
      <c r="K51" s="47"/>
      <c r="L51" s="85"/>
      <c r="M51" s="52"/>
      <c r="N51" s="47"/>
      <c r="O51" s="85"/>
      <c r="P51" s="89"/>
      <c r="Q51" s="89"/>
      <c r="R51" s="89"/>
      <c r="S51" s="56"/>
      <c r="T51" s="101"/>
      <c r="U51" s="102"/>
      <c r="V51" s="89"/>
      <c r="W51" s="89"/>
      <c r="X51" s="89"/>
      <c r="Y51" s="136"/>
      <c r="Z51" s="137"/>
      <c r="AA51" s="138"/>
      <c r="AB51" s="121"/>
      <c r="AC51" s="121"/>
      <c r="AD51" s="121"/>
      <c r="AE51" s="52"/>
      <c r="AF51" s="47"/>
      <c r="AG51" s="85"/>
    </row>
    <row r="52" spans="2:33" ht="30" hidden="1">
      <c r="B52" s="53" t="s">
        <v>56</v>
      </c>
      <c r="C52" s="54" t="s">
        <v>57</v>
      </c>
      <c r="D52" s="55"/>
      <c r="E52" s="55"/>
      <c r="F52" s="55"/>
      <c r="G52" s="55"/>
      <c r="H52" s="55"/>
      <c r="I52" s="55"/>
      <c r="J52" s="46">
        <f t="shared" ref="J52:O52" si="10">SUM(J53:J64)</f>
        <v>521541.7</v>
      </c>
      <c r="K52" s="78">
        <f t="shared" si="10"/>
        <v>108</v>
      </c>
      <c r="L52" s="79">
        <f t="shared" si="10"/>
        <v>0</v>
      </c>
      <c r="M52" s="46">
        <f t="shared" si="10"/>
        <v>132874</v>
      </c>
      <c r="N52" s="78">
        <f t="shared" si="10"/>
        <v>66</v>
      </c>
      <c r="O52" s="79">
        <f t="shared" si="10"/>
        <v>0</v>
      </c>
      <c r="P52" s="81"/>
      <c r="Q52" s="81"/>
      <c r="R52" s="81"/>
      <c r="S52" s="46">
        <f t="shared" ref="S52:AG52" si="11">SUM(S53:S64)</f>
        <v>51384.5</v>
      </c>
      <c r="T52" s="46">
        <f t="shared" si="11"/>
        <v>36</v>
      </c>
      <c r="U52" s="46">
        <f t="shared" si="11"/>
        <v>0</v>
      </c>
      <c r="V52" s="46"/>
      <c r="W52" s="46"/>
      <c r="X52" s="46"/>
      <c r="Y52" s="240">
        <f t="shared" si="11"/>
        <v>90929</v>
      </c>
      <c r="Z52" s="241">
        <f t="shared" si="11"/>
        <v>410</v>
      </c>
      <c r="AA52" s="242">
        <f t="shared" si="11"/>
        <v>0</v>
      </c>
      <c r="AB52" s="122"/>
      <c r="AC52" s="122"/>
      <c r="AD52" s="122"/>
      <c r="AE52" s="46">
        <f t="shared" si="11"/>
        <v>796729.2</v>
      </c>
      <c r="AF52" s="78">
        <f t="shared" si="11"/>
        <v>620</v>
      </c>
      <c r="AG52" s="79">
        <f t="shared" si="11"/>
        <v>0</v>
      </c>
    </row>
    <row r="53" spans="2:33" hidden="1">
      <c r="B53" s="47">
        <v>6</v>
      </c>
      <c r="C53" s="48" t="s">
        <v>58</v>
      </c>
      <c r="D53" s="49"/>
      <c r="E53" s="49"/>
      <c r="F53" s="49"/>
      <c r="G53" s="49"/>
      <c r="H53" s="49"/>
      <c r="I53" s="49"/>
      <c r="J53" s="50">
        <v>152910.79999999999</v>
      </c>
      <c r="K53" s="82">
        <v>70</v>
      </c>
      <c r="L53" s="83">
        <v>0</v>
      </c>
      <c r="M53" s="50">
        <v>129599.6</v>
      </c>
      <c r="N53" s="82">
        <v>40</v>
      </c>
      <c r="O53" s="83">
        <v>0</v>
      </c>
      <c r="P53" s="88"/>
      <c r="Q53" s="88"/>
      <c r="R53" s="88"/>
      <c r="S53" s="95">
        <v>18079.900000000001</v>
      </c>
      <c r="T53" s="103">
        <v>0</v>
      </c>
      <c r="U53" s="104">
        <v>0</v>
      </c>
      <c r="V53" s="105"/>
      <c r="W53" s="105"/>
      <c r="X53" s="105"/>
      <c r="Y53" s="210">
        <v>54277.1</v>
      </c>
      <c r="Z53" s="208">
        <v>314</v>
      </c>
      <c r="AA53" s="209"/>
      <c r="AB53" s="120"/>
      <c r="AC53" s="120"/>
      <c r="AD53" s="120"/>
      <c r="AE53" s="56">
        <f t="shared" ref="AE53:AE64" si="12">J53+M53+S53+Y53</f>
        <v>354867.4</v>
      </c>
      <c r="AF53" s="47">
        <f t="shared" ref="AF53:AF64" si="13">K53+N53+T53+Z53</f>
        <v>424</v>
      </c>
      <c r="AG53" s="85">
        <f t="shared" ref="AG53:AG64" si="14">L53+O53+U53+AA53</f>
        <v>0</v>
      </c>
    </row>
    <row r="54" spans="2:33" hidden="1">
      <c r="B54" s="47">
        <v>7</v>
      </c>
      <c r="C54" s="48" t="s">
        <v>59</v>
      </c>
      <c r="D54" s="49"/>
      <c r="E54" s="49"/>
      <c r="F54" s="49"/>
      <c r="G54" s="49"/>
      <c r="H54" s="49"/>
      <c r="I54" s="49"/>
      <c r="J54" s="50">
        <v>0</v>
      </c>
      <c r="K54" s="82">
        <v>0</v>
      </c>
      <c r="L54" s="83">
        <v>0</v>
      </c>
      <c r="M54" s="50"/>
      <c r="N54" s="82"/>
      <c r="O54" s="83"/>
      <c r="P54" s="88"/>
      <c r="Q54" s="88"/>
      <c r="R54" s="88"/>
      <c r="S54" s="95"/>
      <c r="T54" s="103"/>
      <c r="U54" s="104"/>
      <c r="V54" s="105"/>
      <c r="W54" s="105"/>
      <c r="X54" s="105"/>
      <c r="Y54" s="210"/>
      <c r="Z54" s="208"/>
      <c r="AA54" s="209"/>
      <c r="AB54" s="120"/>
      <c r="AC54" s="120"/>
      <c r="AD54" s="120"/>
      <c r="AE54" s="56">
        <f t="shared" si="12"/>
        <v>0</v>
      </c>
      <c r="AF54" s="47">
        <f t="shared" si="13"/>
        <v>0</v>
      </c>
      <c r="AG54" s="85">
        <f t="shared" si="14"/>
        <v>0</v>
      </c>
    </row>
    <row r="55" spans="2:33" ht="28.5" hidden="1">
      <c r="B55" s="47">
        <v>8</v>
      </c>
      <c r="C55" s="48" t="s">
        <v>60</v>
      </c>
      <c r="D55" s="49"/>
      <c r="E55" s="49"/>
      <c r="F55" s="49"/>
      <c r="G55" s="49"/>
      <c r="H55" s="49"/>
      <c r="I55" s="49"/>
      <c r="J55" s="56">
        <v>102.8</v>
      </c>
      <c r="K55" s="47">
        <v>0</v>
      </c>
      <c r="L55" s="85">
        <v>0</v>
      </c>
      <c r="M55" s="50">
        <v>171.9</v>
      </c>
      <c r="N55" s="82">
        <v>0</v>
      </c>
      <c r="O55" s="83">
        <v>0</v>
      </c>
      <c r="P55" s="88"/>
      <c r="Q55" s="88"/>
      <c r="R55" s="88"/>
      <c r="S55" s="95"/>
      <c r="T55" s="103"/>
      <c r="U55" s="104"/>
      <c r="V55" s="105"/>
      <c r="W55" s="105"/>
      <c r="X55" s="105"/>
      <c r="Y55" s="210">
        <v>800</v>
      </c>
      <c r="Z55" s="208">
        <v>0</v>
      </c>
      <c r="AA55" s="209">
        <v>0</v>
      </c>
      <c r="AB55" s="120"/>
      <c r="AC55" s="120"/>
      <c r="AD55" s="120"/>
      <c r="AE55" s="56">
        <f t="shared" si="12"/>
        <v>1074.7</v>
      </c>
      <c r="AF55" s="47">
        <f t="shared" si="13"/>
        <v>0</v>
      </c>
      <c r="AG55" s="85">
        <f t="shared" si="14"/>
        <v>0</v>
      </c>
    </row>
    <row r="56" spans="2:33" hidden="1">
      <c r="B56" s="47">
        <v>9</v>
      </c>
      <c r="C56" s="48" t="s">
        <v>61</v>
      </c>
      <c r="D56" s="49"/>
      <c r="E56" s="49"/>
      <c r="F56" s="49"/>
      <c r="G56" s="49"/>
      <c r="H56" s="49"/>
      <c r="I56" s="49"/>
      <c r="J56" s="56">
        <v>2343</v>
      </c>
      <c r="K56" s="47">
        <v>0</v>
      </c>
      <c r="L56" s="85">
        <v>0</v>
      </c>
      <c r="M56" s="50">
        <v>537</v>
      </c>
      <c r="N56" s="82">
        <v>0</v>
      </c>
      <c r="O56" s="83">
        <v>0</v>
      </c>
      <c r="P56" s="90"/>
      <c r="Q56" s="90"/>
      <c r="R56" s="90"/>
      <c r="S56" s="96">
        <v>1934.8</v>
      </c>
      <c r="T56" s="106">
        <v>5</v>
      </c>
      <c r="U56" s="107">
        <v>0</v>
      </c>
      <c r="V56" s="91"/>
      <c r="W56" s="91"/>
      <c r="X56" s="91"/>
      <c r="Y56" s="210">
        <v>144.19999999999999</v>
      </c>
      <c r="Z56" s="208">
        <v>0</v>
      </c>
      <c r="AA56" s="209">
        <v>0</v>
      </c>
      <c r="AB56" s="120"/>
      <c r="AC56" s="120"/>
      <c r="AD56" s="120"/>
      <c r="AE56" s="56">
        <f t="shared" si="12"/>
        <v>4959</v>
      </c>
      <c r="AF56" s="47">
        <f t="shared" si="13"/>
        <v>5</v>
      </c>
      <c r="AG56" s="85">
        <f t="shared" si="14"/>
        <v>0</v>
      </c>
    </row>
    <row r="57" spans="2:33" ht="28.5" hidden="1">
      <c r="B57" s="47">
        <v>10</v>
      </c>
      <c r="C57" s="48" t="s">
        <v>62</v>
      </c>
      <c r="D57" s="49"/>
      <c r="E57" s="49"/>
      <c r="F57" s="49"/>
      <c r="G57" s="49"/>
      <c r="H57" s="49"/>
      <c r="I57" s="49"/>
      <c r="J57" s="50">
        <v>0</v>
      </c>
      <c r="K57" s="82">
        <v>0</v>
      </c>
      <c r="L57" s="83">
        <v>0</v>
      </c>
      <c r="M57" s="50"/>
      <c r="N57" s="82"/>
      <c r="O57" s="83"/>
      <c r="P57" s="90"/>
      <c r="Q57" s="90"/>
      <c r="R57" s="90"/>
      <c r="S57" s="96">
        <v>0</v>
      </c>
      <c r="T57" s="108">
        <v>13</v>
      </c>
      <c r="U57" s="107">
        <v>0</v>
      </c>
      <c r="V57" s="91"/>
      <c r="W57" s="91"/>
      <c r="X57" s="91"/>
      <c r="Y57" s="210">
        <v>0</v>
      </c>
      <c r="Z57" s="208">
        <v>0</v>
      </c>
      <c r="AA57" s="209">
        <v>0</v>
      </c>
      <c r="AB57" s="120"/>
      <c r="AC57" s="120"/>
      <c r="AD57" s="120"/>
      <c r="AE57" s="56">
        <f t="shared" si="12"/>
        <v>0</v>
      </c>
      <c r="AF57" s="47">
        <f t="shared" si="13"/>
        <v>13</v>
      </c>
      <c r="AG57" s="85">
        <f t="shared" si="14"/>
        <v>0</v>
      </c>
    </row>
    <row r="58" spans="2:33" ht="28.5" hidden="1">
      <c r="B58" s="47">
        <v>11</v>
      </c>
      <c r="C58" s="48" t="s">
        <v>63</v>
      </c>
      <c r="D58" s="49"/>
      <c r="E58" s="49"/>
      <c r="F58" s="49"/>
      <c r="G58" s="49"/>
      <c r="H58" s="49"/>
      <c r="I58" s="49"/>
      <c r="J58" s="50">
        <v>6046</v>
      </c>
      <c r="K58" s="82">
        <v>31</v>
      </c>
      <c r="L58" s="83">
        <v>0</v>
      </c>
      <c r="M58" s="50">
        <v>95</v>
      </c>
      <c r="N58" s="82">
        <v>0</v>
      </c>
      <c r="O58" s="83">
        <v>0</v>
      </c>
      <c r="P58" s="90"/>
      <c r="Q58" s="90"/>
      <c r="R58" s="90"/>
      <c r="S58" s="96">
        <v>95</v>
      </c>
      <c r="T58" s="106">
        <v>0</v>
      </c>
      <c r="U58" s="107">
        <v>0</v>
      </c>
      <c r="V58" s="91"/>
      <c r="W58" s="91"/>
      <c r="X58" s="91"/>
      <c r="Y58" s="210">
        <v>9024.1</v>
      </c>
      <c r="Z58" s="208">
        <v>17</v>
      </c>
      <c r="AA58" s="209">
        <v>0</v>
      </c>
      <c r="AB58" s="120"/>
      <c r="AC58" s="120"/>
      <c r="AD58" s="120"/>
      <c r="AE58" s="56">
        <f t="shared" si="12"/>
        <v>15260.1</v>
      </c>
      <c r="AF58" s="47">
        <f t="shared" si="13"/>
        <v>48</v>
      </c>
      <c r="AG58" s="85">
        <f t="shared" si="14"/>
        <v>0</v>
      </c>
    </row>
    <row r="59" spans="2:33" ht="28.5" hidden="1">
      <c r="B59" s="47">
        <v>12</v>
      </c>
      <c r="C59" s="48" t="s">
        <v>64</v>
      </c>
      <c r="D59" s="49"/>
      <c r="E59" s="49"/>
      <c r="F59" s="49"/>
      <c r="G59" s="49"/>
      <c r="H59" s="49"/>
      <c r="I59" s="49"/>
      <c r="J59" s="50">
        <v>339169.7</v>
      </c>
      <c r="K59" s="82">
        <v>5</v>
      </c>
      <c r="L59" s="83">
        <v>0</v>
      </c>
      <c r="M59" s="50">
        <v>174.3</v>
      </c>
      <c r="N59" s="82">
        <v>0</v>
      </c>
      <c r="O59" s="83">
        <v>0</v>
      </c>
      <c r="P59" s="90"/>
      <c r="Q59" s="90"/>
      <c r="R59" s="90"/>
      <c r="S59" s="96">
        <v>2586.6999999999998</v>
      </c>
      <c r="T59" s="106">
        <v>3</v>
      </c>
      <c r="U59" s="107">
        <v>0</v>
      </c>
      <c r="V59" s="91"/>
      <c r="W59" s="91"/>
      <c r="X59" s="91"/>
      <c r="Y59" s="210">
        <v>13411.4</v>
      </c>
      <c r="Z59" s="208">
        <v>2</v>
      </c>
      <c r="AA59" s="209">
        <v>0</v>
      </c>
      <c r="AB59" s="120"/>
      <c r="AC59" s="120"/>
      <c r="AD59" s="120"/>
      <c r="AE59" s="56">
        <f t="shared" si="12"/>
        <v>355342.1</v>
      </c>
      <c r="AF59" s="47">
        <f t="shared" si="13"/>
        <v>10</v>
      </c>
      <c r="AG59" s="85">
        <f t="shared" si="14"/>
        <v>0</v>
      </c>
    </row>
    <row r="60" spans="2:33" ht="28.5" hidden="1">
      <c r="B60" s="47">
        <v>13</v>
      </c>
      <c r="C60" s="48" t="s">
        <v>65</v>
      </c>
      <c r="D60" s="49"/>
      <c r="E60" s="49"/>
      <c r="F60" s="49"/>
      <c r="G60" s="49"/>
      <c r="H60" s="49"/>
      <c r="I60" s="49"/>
      <c r="J60" s="50">
        <v>20349</v>
      </c>
      <c r="K60" s="82">
        <v>2</v>
      </c>
      <c r="L60" s="83">
        <v>0</v>
      </c>
      <c r="M60" s="50">
        <v>1996.2</v>
      </c>
      <c r="N60" s="82">
        <v>21</v>
      </c>
      <c r="O60" s="83">
        <v>0</v>
      </c>
      <c r="P60" s="90"/>
      <c r="Q60" s="90"/>
      <c r="R60" s="90"/>
      <c r="S60" s="96">
        <v>28618</v>
      </c>
      <c r="T60" s="106">
        <v>14</v>
      </c>
      <c r="U60" s="107">
        <v>0</v>
      </c>
      <c r="V60" s="91"/>
      <c r="W60" s="91"/>
      <c r="X60" s="91"/>
      <c r="Y60" s="210">
        <v>420.9</v>
      </c>
      <c r="Z60" s="208">
        <v>6</v>
      </c>
      <c r="AA60" s="209"/>
      <c r="AB60" s="120"/>
      <c r="AC60" s="120"/>
      <c r="AD60" s="120"/>
      <c r="AE60" s="56">
        <f t="shared" si="12"/>
        <v>51384.1</v>
      </c>
      <c r="AF60" s="47">
        <f t="shared" si="13"/>
        <v>43</v>
      </c>
      <c r="AG60" s="85">
        <f t="shared" si="14"/>
        <v>0</v>
      </c>
    </row>
    <row r="61" spans="2:33" ht="42.75" hidden="1">
      <c r="B61" s="47">
        <v>14</v>
      </c>
      <c r="C61" s="48" t="s">
        <v>67</v>
      </c>
      <c r="D61" s="49"/>
      <c r="E61" s="49"/>
      <c r="F61" s="49"/>
      <c r="G61" s="49"/>
      <c r="H61" s="49"/>
      <c r="I61" s="49"/>
      <c r="J61" s="56">
        <v>620.4</v>
      </c>
      <c r="K61" s="47">
        <v>0</v>
      </c>
      <c r="L61" s="85">
        <v>0</v>
      </c>
      <c r="M61" s="50"/>
      <c r="N61" s="82"/>
      <c r="O61" s="83"/>
      <c r="P61" s="91"/>
      <c r="Q61" s="91"/>
      <c r="R61" s="91"/>
      <c r="S61" s="97"/>
      <c r="T61" s="106"/>
      <c r="U61" s="107"/>
      <c r="V61" s="91"/>
      <c r="W61" s="91"/>
      <c r="X61" s="91"/>
      <c r="Y61" s="210">
        <v>2919</v>
      </c>
      <c r="Z61" s="208">
        <v>30</v>
      </c>
      <c r="AA61" s="209">
        <v>0</v>
      </c>
      <c r="AB61" s="120"/>
      <c r="AC61" s="120"/>
      <c r="AD61" s="120"/>
      <c r="AE61" s="56">
        <f t="shared" si="12"/>
        <v>3539.4</v>
      </c>
      <c r="AF61" s="47">
        <f t="shared" si="13"/>
        <v>30</v>
      </c>
      <c r="AG61" s="85">
        <f t="shared" si="14"/>
        <v>0</v>
      </c>
    </row>
    <row r="62" spans="2:33" ht="42.75" hidden="1">
      <c r="B62" s="47">
        <v>15</v>
      </c>
      <c r="C62" s="48" t="s">
        <v>68</v>
      </c>
      <c r="D62" s="49"/>
      <c r="E62" s="49"/>
      <c r="F62" s="49"/>
      <c r="G62" s="49"/>
      <c r="H62" s="49"/>
      <c r="I62" s="49"/>
      <c r="J62" s="56">
        <v>0</v>
      </c>
      <c r="K62" s="47">
        <v>0</v>
      </c>
      <c r="L62" s="85">
        <v>0</v>
      </c>
      <c r="M62" s="50"/>
      <c r="N62" s="82"/>
      <c r="O62" s="83"/>
      <c r="P62" s="91"/>
      <c r="Q62" s="91"/>
      <c r="R62" s="91"/>
      <c r="S62" s="97"/>
      <c r="T62" s="106"/>
      <c r="U62" s="107"/>
      <c r="V62" s="91"/>
      <c r="W62" s="91"/>
      <c r="X62" s="91"/>
      <c r="Y62" s="210">
        <v>9932.2999999999993</v>
      </c>
      <c r="Z62" s="208">
        <v>37</v>
      </c>
      <c r="AA62" s="209">
        <v>0</v>
      </c>
      <c r="AB62" s="120"/>
      <c r="AC62" s="120"/>
      <c r="AD62" s="120"/>
      <c r="AE62" s="56">
        <f t="shared" si="12"/>
        <v>9932.2999999999993</v>
      </c>
      <c r="AF62" s="47">
        <f t="shared" si="13"/>
        <v>37</v>
      </c>
      <c r="AG62" s="85">
        <f t="shared" si="14"/>
        <v>0</v>
      </c>
    </row>
    <row r="63" spans="2:33" ht="42.75" hidden="1">
      <c r="B63" s="47">
        <v>16</v>
      </c>
      <c r="C63" s="48" t="s">
        <v>69</v>
      </c>
      <c r="D63" s="49"/>
      <c r="E63" s="49"/>
      <c r="F63" s="49"/>
      <c r="G63" s="49"/>
      <c r="H63" s="49"/>
      <c r="I63" s="49"/>
      <c r="J63" s="50">
        <v>0</v>
      </c>
      <c r="K63" s="82">
        <v>0</v>
      </c>
      <c r="L63" s="83">
        <v>0</v>
      </c>
      <c r="M63" s="50"/>
      <c r="N63" s="82"/>
      <c r="O63" s="83"/>
      <c r="P63" s="91"/>
      <c r="Q63" s="91"/>
      <c r="R63" s="91"/>
      <c r="S63" s="97"/>
      <c r="T63" s="106"/>
      <c r="U63" s="107"/>
      <c r="V63" s="91"/>
      <c r="W63" s="91"/>
      <c r="X63" s="91"/>
      <c r="Y63" s="210"/>
      <c r="Z63" s="208"/>
      <c r="AA63" s="209"/>
      <c r="AB63" s="120"/>
      <c r="AC63" s="120"/>
      <c r="AD63" s="120"/>
      <c r="AE63" s="56">
        <f t="shared" si="12"/>
        <v>0</v>
      </c>
      <c r="AF63" s="47">
        <f t="shared" si="13"/>
        <v>0</v>
      </c>
      <c r="AG63" s="85">
        <f t="shared" si="14"/>
        <v>0</v>
      </c>
    </row>
    <row r="64" spans="2:33" hidden="1">
      <c r="B64" s="47">
        <v>17</v>
      </c>
      <c r="C64" s="48" t="s">
        <v>70</v>
      </c>
      <c r="D64" s="49"/>
      <c r="E64" s="49"/>
      <c r="F64" s="49"/>
      <c r="G64" s="49"/>
      <c r="H64" s="49"/>
      <c r="I64" s="49"/>
      <c r="J64" s="50">
        <v>0</v>
      </c>
      <c r="K64" s="82">
        <v>0</v>
      </c>
      <c r="L64" s="83">
        <v>0</v>
      </c>
      <c r="M64" s="56">
        <v>300</v>
      </c>
      <c r="N64" s="47">
        <v>5</v>
      </c>
      <c r="O64" s="85">
        <v>0</v>
      </c>
      <c r="P64" s="130"/>
      <c r="Q64" s="130"/>
      <c r="R64" s="130"/>
      <c r="S64" s="147">
        <v>70.099999999999994</v>
      </c>
      <c r="T64" s="151">
        <v>1</v>
      </c>
      <c r="U64" s="152">
        <v>0</v>
      </c>
      <c r="V64" s="131"/>
      <c r="W64" s="131"/>
      <c r="X64" s="131"/>
      <c r="Y64" s="136">
        <v>0</v>
      </c>
      <c r="Z64" s="137">
        <v>4</v>
      </c>
      <c r="AA64" s="138">
        <v>0</v>
      </c>
      <c r="AB64" s="121"/>
      <c r="AC64" s="121"/>
      <c r="AD64" s="121"/>
      <c r="AE64" s="56">
        <f t="shared" si="12"/>
        <v>370.1</v>
      </c>
      <c r="AF64" s="47">
        <f t="shared" si="13"/>
        <v>10</v>
      </c>
      <c r="AG64" s="85">
        <f t="shared" si="14"/>
        <v>0</v>
      </c>
    </row>
    <row r="65" spans="2:33" hidden="1">
      <c r="B65" s="51"/>
      <c r="C65" s="48"/>
      <c r="D65" s="49"/>
      <c r="E65" s="49"/>
      <c r="F65" s="49"/>
      <c r="G65" s="49"/>
      <c r="H65" s="49"/>
      <c r="I65" s="49"/>
      <c r="J65" s="52"/>
      <c r="K65" s="47"/>
      <c r="L65" s="85"/>
      <c r="M65" s="52"/>
      <c r="N65" s="47"/>
      <c r="O65" s="85"/>
      <c r="P65" s="131"/>
      <c r="Q65" s="131"/>
      <c r="R65" s="131"/>
      <c r="S65" s="148"/>
      <c r="T65" s="153"/>
      <c r="U65" s="152"/>
      <c r="V65" s="131"/>
      <c r="W65" s="131"/>
      <c r="X65" s="131"/>
      <c r="Y65" s="136"/>
      <c r="Z65" s="137"/>
      <c r="AA65" s="138"/>
      <c r="AB65" s="121"/>
      <c r="AC65" s="121"/>
      <c r="AD65" s="121"/>
      <c r="AE65" s="52"/>
      <c r="AF65" s="47"/>
      <c r="AG65" s="85"/>
    </row>
    <row r="66" spans="2:33" hidden="1">
      <c r="B66" s="53" t="s">
        <v>71</v>
      </c>
      <c r="C66" s="54" t="s">
        <v>72</v>
      </c>
      <c r="D66" s="55"/>
      <c r="E66" s="55"/>
      <c r="F66" s="55"/>
      <c r="G66" s="55"/>
      <c r="H66" s="55"/>
      <c r="I66" s="55"/>
      <c r="J66" s="46">
        <f t="shared" ref="J66:O66" si="15">SUM(J67:J73)</f>
        <v>865051.2</v>
      </c>
      <c r="K66" s="78">
        <f t="shared" si="15"/>
        <v>2126</v>
      </c>
      <c r="L66" s="79">
        <f t="shared" si="15"/>
        <v>0</v>
      </c>
      <c r="M66" s="46">
        <f t="shared" si="15"/>
        <v>747467.1</v>
      </c>
      <c r="N66" s="78">
        <f t="shared" si="15"/>
        <v>309</v>
      </c>
      <c r="O66" s="79">
        <f t="shared" si="15"/>
        <v>0</v>
      </c>
      <c r="P66" s="132"/>
      <c r="Q66" s="132"/>
      <c r="R66" s="132"/>
      <c r="S66" s="149">
        <f t="shared" ref="S66:AG66" si="16">SUM(S67:S73)</f>
        <v>711965.9</v>
      </c>
      <c r="T66" s="149">
        <f t="shared" si="16"/>
        <v>776</v>
      </c>
      <c r="U66" s="149">
        <f t="shared" si="16"/>
        <v>0</v>
      </c>
      <c r="V66" s="149"/>
      <c r="W66" s="149"/>
      <c r="X66" s="149"/>
      <c r="Y66" s="240">
        <f t="shared" si="16"/>
        <v>428099.9</v>
      </c>
      <c r="Z66" s="241">
        <f t="shared" si="16"/>
        <v>622</v>
      </c>
      <c r="AA66" s="242">
        <f t="shared" si="16"/>
        <v>0</v>
      </c>
      <c r="AB66" s="122"/>
      <c r="AC66" s="122"/>
      <c r="AD66" s="122"/>
      <c r="AE66" s="46">
        <f t="shared" si="16"/>
        <v>2752584.1</v>
      </c>
      <c r="AF66" s="78">
        <f t="shared" si="16"/>
        <v>3833</v>
      </c>
      <c r="AG66" s="79">
        <f t="shared" si="16"/>
        <v>0</v>
      </c>
    </row>
    <row r="67" spans="2:33" hidden="1">
      <c r="B67" s="47">
        <v>18</v>
      </c>
      <c r="C67" s="48" t="s">
        <v>73</v>
      </c>
      <c r="D67" s="49"/>
      <c r="E67" s="49"/>
      <c r="F67" s="49"/>
      <c r="G67" s="49"/>
      <c r="H67" s="49"/>
      <c r="I67" s="49"/>
      <c r="J67" s="56">
        <v>154967.1</v>
      </c>
      <c r="K67" s="47">
        <v>648</v>
      </c>
      <c r="L67" s="85">
        <v>0</v>
      </c>
      <c r="M67" s="56">
        <v>181507.8</v>
      </c>
      <c r="N67" s="133">
        <v>54</v>
      </c>
      <c r="O67" s="134">
        <v>0</v>
      </c>
      <c r="P67" s="130"/>
      <c r="Q67" s="130"/>
      <c r="R67" s="130"/>
      <c r="S67" s="147">
        <v>137850.79999999999</v>
      </c>
      <c r="T67" s="151">
        <v>199</v>
      </c>
      <c r="U67" s="152">
        <v>0</v>
      </c>
      <c r="V67" s="131"/>
      <c r="W67" s="131"/>
      <c r="X67" s="131"/>
      <c r="Y67" s="136">
        <v>144088</v>
      </c>
      <c r="Z67" s="137">
        <v>7</v>
      </c>
      <c r="AA67" s="138">
        <v>0</v>
      </c>
      <c r="AB67" s="121"/>
      <c r="AC67" s="121"/>
      <c r="AD67" s="121"/>
      <c r="AE67" s="56">
        <f t="shared" ref="AE67:AG73" si="17">J67+M67+S67+Y67</f>
        <v>618413.69999999995</v>
      </c>
      <c r="AF67" s="47">
        <f t="shared" si="17"/>
        <v>908</v>
      </c>
      <c r="AG67" s="85">
        <f t="shared" si="17"/>
        <v>0</v>
      </c>
    </row>
    <row r="68" spans="2:33" hidden="1">
      <c r="B68" s="47">
        <v>19</v>
      </c>
      <c r="C68" s="48" t="s">
        <v>74</v>
      </c>
      <c r="D68" s="49"/>
      <c r="E68" s="49"/>
      <c r="F68" s="49"/>
      <c r="G68" s="49"/>
      <c r="H68" s="49"/>
      <c r="I68" s="49"/>
      <c r="J68" s="56">
        <v>506051.4</v>
      </c>
      <c r="K68" s="47">
        <v>26</v>
      </c>
      <c r="L68" s="85">
        <v>0</v>
      </c>
      <c r="M68" s="56">
        <v>178807.8</v>
      </c>
      <c r="N68" s="133">
        <v>24</v>
      </c>
      <c r="O68" s="134">
        <v>0</v>
      </c>
      <c r="P68" s="130"/>
      <c r="Q68" s="130"/>
      <c r="R68" s="130"/>
      <c r="S68" s="147">
        <v>247486.8</v>
      </c>
      <c r="T68" s="151">
        <v>84</v>
      </c>
      <c r="U68" s="152">
        <v>0</v>
      </c>
      <c r="V68" s="131"/>
      <c r="W68" s="131"/>
      <c r="X68" s="131"/>
      <c r="Y68" s="136">
        <v>116017.3</v>
      </c>
      <c r="Z68" s="137">
        <v>205</v>
      </c>
      <c r="AA68" s="138">
        <v>0</v>
      </c>
      <c r="AB68" s="121"/>
      <c r="AC68" s="121"/>
      <c r="AD68" s="121"/>
      <c r="AE68" s="56">
        <f t="shared" si="17"/>
        <v>1048363.3</v>
      </c>
      <c r="AF68" s="47">
        <f t="shared" si="17"/>
        <v>339</v>
      </c>
      <c r="AG68" s="85">
        <f t="shared" si="17"/>
        <v>0</v>
      </c>
    </row>
    <row r="69" spans="2:33" ht="28.5" hidden="1">
      <c r="B69" s="47">
        <v>20</v>
      </c>
      <c r="C69" s="48" t="s">
        <v>75</v>
      </c>
      <c r="D69" s="49"/>
      <c r="E69" s="49"/>
      <c r="F69" s="49"/>
      <c r="G69" s="49"/>
      <c r="H69" s="49"/>
      <c r="I69" s="49"/>
      <c r="J69" s="56">
        <v>19818.7</v>
      </c>
      <c r="K69" s="47">
        <v>391</v>
      </c>
      <c r="L69" s="85">
        <v>0</v>
      </c>
      <c r="M69" s="56">
        <v>15358.1</v>
      </c>
      <c r="N69" s="133">
        <v>113</v>
      </c>
      <c r="O69" s="134">
        <v>0</v>
      </c>
      <c r="P69" s="130"/>
      <c r="Q69" s="130"/>
      <c r="R69" s="130"/>
      <c r="S69" s="147">
        <v>19445.099999999999</v>
      </c>
      <c r="T69" s="151">
        <v>317</v>
      </c>
      <c r="U69" s="152">
        <v>0</v>
      </c>
      <c r="V69" s="131"/>
      <c r="W69" s="131"/>
      <c r="X69" s="131"/>
      <c r="Y69" s="136">
        <v>22923.200000000001</v>
      </c>
      <c r="Z69" s="137">
        <v>296</v>
      </c>
      <c r="AA69" s="138"/>
      <c r="AB69" s="121"/>
      <c r="AC69" s="121"/>
      <c r="AD69" s="121"/>
      <c r="AE69" s="56">
        <f t="shared" si="17"/>
        <v>77545.100000000006</v>
      </c>
      <c r="AF69" s="47">
        <f t="shared" si="17"/>
        <v>1117</v>
      </c>
      <c r="AG69" s="85">
        <f t="shared" si="17"/>
        <v>0</v>
      </c>
    </row>
    <row r="70" spans="2:33" hidden="1">
      <c r="B70" s="47">
        <v>21</v>
      </c>
      <c r="C70" s="48" t="s">
        <v>76</v>
      </c>
      <c r="D70" s="49"/>
      <c r="E70" s="49"/>
      <c r="F70" s="49"/>
      <c r="G70" s="49"/>
      <c r="H70" s="49"/>
      <c r="I70" s="49"/>
      <c r="J70" s="56">
        <v>139026.6</v>
      </c>
      <c r="K70" s="47">
        <v>192</v>
      </c>
      <c r="L70" s="85">
        <v>0</v>
      </c>
      <c r="M70" s="56">
        <v>16385.7</v>
      </c>
      <c r="N70" s="133">
        <v>34</v>
      </c>
      <c r="O70" s="134">
        <v>0</v>
      </c>
      <c r="P70" s="130"/>
      <c r="Q70" s="130"/>
      <c r="R70" s="130"/>
      <c r="S70" s="147">
        <v>43610.2</v>
      </c>
      <c r="T70" s="151">
        <v>65</v>
      </c>
      <c r="U70" s="152">
        <v>0</v>
      </c>
      <c r="V70" s="131"/>
      <c r="W70" s="131"/>
      <c r="X70" s="131"/>
      <c r="Y70" s="136">
        <v>54786.7</v>
      </c>
      <c r="Z70" s="137">
        <v>59</v>
      </c>
      <c r="AA70" s="138"/>
      <c r="AB70" s="121"/>
      <c r="AC70" s="121"/>
      <c r="AD70" s="121"/>
      <c r="AE70" s="56">
        <f t="shared" si="17"/>
        <v>253809.2</v>
      </c>
      <c r="AF70" s="47">
        <f t="shared" si="17"/>
        <v>350</v>
      </c>
      <c r="AG70" s="85">
        <f t="shared" si="17"/>
        <v>0</v>
      </c>
    </row>
    <row r="71" spans="2:33" ht="42.75" hidden="1">
      <c r="B71" s="47">
        <v>22</v>
      </c>
      <c r="C71" s="48" t="s">
        <v>77</v>
      </c>
      <c r="D71" s="49"/>
      <c r="E71" s="49"/>
      <c r="F71" s="49"/>
      <c r="G71" s="49"/>
      <c r="H71" s="49"/>
      <c r="I71" s="49"/>
      <c r="J71" s="56">
        <v>1200.4000000000001</v>
      </c>
      <c r="K71" s="47">
        <v>23</v>
      </c>
      <c r="L71" s="85">
        <v>0</v>
      </c>
      <c r="M71" s="56">
        <v>323638.2</v>
      </c>
      <c r="N71" s="133">
        <v>6</v>
      </c>
      <c r="O71" s="134">
        <v>0</v>
      </c>
      <c r="P71" s="130"/>
      <c r="Q71" s="130"/>
      <c r="R71" s="130"/>
      <c r="S71" s="147">
        <v>463.3</v>
      </c>
      <c r="T71" s="151">
        <v>30</v>
      </c>
      <c r="U71" s="152">
        <v>0</v>
      </c>
      <c r="V71" s="131"/>
      <c r="W71" s="131"/>
      <c r="X71" s="131"/>
      <c r="Y71" s="136">
        <v>72051.100000000006</v>
      </c>
      <c r="Z71" s="137">
        <v>28</v>
      </c>
      <c r="AA71" s="138">
        <v>0</v>
      </c>
      <c r="AB71" s="121"/>
      <c r="AC71" s="121"/>
      <c r="AD71" s="121"/>
      <c r="AE71" s="56">
        <f t="shared" si="17"/>
        <v>397353</v>
      </c>
      <c r="AF71" s="47">
        <f t="shared" si="17"/>
        <v>87</v>
      </c>
      <c r="AG71" s="85">
        <f t="shared" si="17"/>
        <v>0</v>
      </c>
    </row>
    <row r="72" spans="2:33" ht="42.75" hidden="1">
      <c r="B72" s="47">
        <v>23</v>
      </c>
      <c r="C72" s="48" t="s">
        <v>78</v>
      </c>
      <c r="D72" s="49"/>
      <c r="E72" s="49"/>
      <c r="F72" s="49"/>
      <c r="G72" s="49"/>
      <c r="H72" s="49"/>
      <c r="I72" s="49"/>
      <c r="J72" s="56">
        <v>33629.5</v>
      </c>
      <c r="K72" s="47">
        <v>53</v>
      </c>
      <c r="L72" s="85">
        <v>0</v>
      </c>
      <c r="M72" s="136">
        <v>16599.7</v>
      </c>
      <c r="N72" s="137">
        <v>10</v>
      </c>
      <c r="O72" s="138">
        <v>0</v>
      </c>
      <c r="P72" s="130"/>
      <c r="Q72" s="130"/>
      <c r="R72" s="130"/>
      <c r="S72" s="147">
        <v>5966.9</v>
      </c>
      <c r="T72" s="151">
        <v>18</v>
      </c>
      <c r="U72" s="152">
        <v>0</v>
      </c>
      <c r="V72" s="131"/>
      <c r="W72" s="131"/>
      <c r="X72" s="131"/>
      <c r="Y72" s="136">
        <v>17893.7</v>
      </c>
      <c r="Z72" s="137">
        <v>23</v>
      </c>
      <c r="AA72" s="138">
        <v>0</v>
      </c>
      <c r="AB72" s="121"/>
      <c r="AC72" s="121"/>
      <c r="AD72" s="121"/>
      <c r="AE72" s="56">
        <f t="shared" si="17"/>
        <v>74089.8</v>
      </c>
      <c r="AF72" s="47">
        <f t="shared" si="17"/>
        <v>104</v>
      </c>
      <c r="AG72" s="85">
        <f t="shared" si="17"/>
        <v>0</v>
      </c>
    </row>
    <row r="73" spans="2:33" hidden="1">
      <c r="B73" s="47">
        <v>24</v>
      </c>
      <c r="C73" s="48" t="s">
        <v>79</v>
      </c>
      <c r="D73" s="49"/>
      <c r="E73" s="49"/>
      <c r="F73" s="49"/>
      <c r="G73" s="49"/>
      <c r="H73" s="49"/>
      <c r="I73" s="49"/>
      <c r="J73" s="56">
        <v>10357.5</v>
      </c>
      <c r="K73" s="47">
        <v>793</v>
      </c>
      <c r="L73" s="85">
        <v>0</v>
      </c>
      <c r="M73" s="56">
        <v>15169.8</v>
      </c>
      <c r="N73" s="133">
        <v>68</v>
      </c>
      <c r="O73" s="134">
        <v>0</v>
      </c>
      <c r="P73" s="130"/>
      <c r="Q73" s="130"/>
      <c r="R73" s="130"/>
      <c r="S73" s="147">
        <v>257142.8</v>
      </c>
      <c r="T73" s="151">
        <v>63</v>
      </c>
      <c r="U73" s="152">
        <v>0</v>
      </c>
      <c r="V73" s="131"/>
      <c r="W73" s="131"/>
      <c r="X73" s="131"/>
      <c r="Y73" s="136">
        <v>339.9</v>
      </c>
      <c r="Z73" s="137">
        <v>4</v>
      </c>
      <c r="AA73" s="138">
        <v>0</v>
      </c>
      <c r="AB73" s="121"/>
      <c r="AC73" s="121"/>
      <c r="AD73" s="121"/>
      <c r="AE73" s="56">
        <f t="shared" si="17"/>
        <v>283010</v>
      </c>
      <c r="AF73" s="47">
        <f t="shared" si="17"/>
        <v>928</v>
      </c>
      <c r="AG73" s="85">
        <f t="shared" si="17"/>
        <v>0</v>
      </c>
    </row>
    <row r="74" spans="2:33" hidden="1">
      <c r="B74" s="51"/>
      <c r="C74" s="125"/>
      <c r="D74" s="126"/>
      <c r="E74" s="126"/>
      <c r="F74" s="126"/>
      <c r="G74" s="126"/>
      <c r="H74" s="126"/>
      <c r="I74" s="126"/>
      <c r="J74" s="52"/>
      <c r="K74" s="51"/>
      <c r="L74" s="139"/>
      <c r="M74" s="52"/>
      <c r="N74" s="51"/>
      <c r="O74" s="139"/>
      <c r="P74" s="89"/>
      <c r="Q74" s="89"/>
      <c r="R74" s="89"/>
      <c r="S74" s="56"/>
      <c r="T74" s="154"/>
      <c r="U74" s="155"/>
      <c r="V74" s="156"/>
      <c r="W74" s="156"/>
      <c r="X74" s="156"/>
      <c r="Y74" s="136"/>
      <c r="Z74" s="214"/>
      <c r="AA74" s="215"/>
      <c r="AB74" s="157"/>
      <c r="AC74" s="157"/>
      <c r="AD74" s="157"/>
      <c r="AE74" s="52"/>
      <c r="AF74" s="51"/>
      <c r="AG74" s="139"/>
    </row>
    <row r="75" spans="2:33" hidden="1">
      <c r="B75" s="346" t="s">
        <v>80</v>
      </c>
      <c r="C75" s="347"/>
      <c r="D75" s="127"/>
      <c r="E75" s="127"/>
      <c r="F75" s="127"/>
      <c r="G75" s="127"/>
      <c r="H75" s="127"/>
      <c r="I75" s="127"/>
      <c r="J75" s="128">
        <f t="shared" ref="J75:O75" si="18">J66+J52+J46</f>
        <v>1418070.4</v>
      </c>
      <c r="K75" s="141">
        <f t="shared" si="18"/>
        <v>2295</v>
      </c>
      <c r="L75" s="142">
        <f t="shared" si="18"/>
        <v>0</v>
      </c>
      <c r="M75" s="128">
        <f t="shared" si="18"/>
        <v>1223476.5</v>
      </c>
      <c r="N75" s="144">
        <f t="shared" si="18"/>
        <v>444</v>
      </c>
      <c r="O75" s="142">
        <f t="shared" si="18"/>
        <v>0</v>
      </c>
      <c r="P75" s="145"/>
      <c r="Q75" s="145"/>
      <c r="R75" s="145"/>
      <c r="S75" s="128">
        <f t="shared" ref="S75:AG75" si="19">S66+S52+S46</f>
        <v>868732</v>
      </c>
      <c r="T75" s="128">
        <f t="shared" ref="T75:Y75" si="20">T66+T52+T46</f>
        <v>945</v>
      </c>
      <c r="U75" s="128">
        <f t="shared" si="20"/>
        <v>0</v>
      </c>
      <c r="V75" s="128"/>
      <c r="W75" s="128"/>
      <c r="X75" s="128"/>
      <c r="Y75" s="216">
        <f t="shared" si="20"/>
        <v>673435</v>
      </c>
      <c r="Z75" s="217">
        <f t="shared" si="19"/>
        <v>1274</v>
      </c>
      <c r="AA75" s="218">
        <f t="shared" si="19"/>
        <v>0</v>
      </c>
      <c r="AB75" s="159"/>
      <c r="AC75" s="159"/>
      <c r="AD75" s="159"/>
      <c r="AE75" s="128">
        <f t="shared" si="19"/>
        <v>4183713.9</v>
      </c>
      <c r="AF75" s="160">
        <f t="shared" si="19"/>
        <v>4958</v>
      </c>
      <c r="AG75" s="142">
        <f t="shared" si="19"/>
        <v>0</v>
      </c>
    </row>
    <row r="76" spans="2:33" hidden="1">
      <c r="P76" s="146"/>
      <c r="Q76" s="146"/>
      <c r="R76" s="146"/>
      <c r="S76" s="150">
        <v>868732</v>
      </c>
      <c r="Y76" s="219">
        <v>673435</v>
      </c>
    </row>
    <row r="77" spans="2:33" hidden="1"/>
    <row r="78" spans="2:33" hidden="1"/>
    <row r="79" spans="2:33" hidden="1"/>
    <row r="80" spans="2:33" hidden="1">
      <c r="AE80" s="162"/>
    </row>
    <row r="81" spans="3:31">
      <c r="AE81" s="163"/>
    </row>
    <row r="82" spans="3:31" ht="18.75">
      <c r="C82" s="129"/>
      <c r="D82" s="273">
        <f>'PMA PERLOKASI'!D40</f>
        <v>303214500</v>
      </c>
      <c r="E82" s="273"/>
      <c r="F82" s="273"/>
      <c r="G82" s="129"/>
      <c r="H82" s="129"/>
      <c r="I82" s="129"/>
      <c r="P82" s="247"/>
    </row>
    <row r="83" spans="3:31">
      <c r="AE83" s="221"/>
    </row>
    <row r="84" spans="3:31">
      <c r="C84" s="6"/>
      <c r="D84" s="6">
        <f>+D82-D39</f>
        <v>0</v>
      </c>
      <c r="E84" s="6"/>
      <c r="F84" s="6"/>
      <c r="G84" s="6"/>
      <c r="H84" s="6"/>
      <c r="I84" s="6"/>
    </row>
  </sheetData>
  <mergeCells count="45">
    <mergeCell ref="G13:I13"/>
    <mergeCell ref="N13:O13"/>
    <mergeCell ref="Q13:R13"/>
    <mergeCell ref="T13:U13"/>
    <mergeCell ref="B7:AH7"/>
    <mergeCell ref="B8:AH8"/>
    <mergeCell ref="B9:AH9"/>
    <mergeCell ref="B10:AH10"/>
    <mergeCell ref="D12:L12"/>
    <mergeCell ref="M12:R12"/>
    <mergeCell ref="S12:U12"/>
    <mergeCell ref="Y12:AA12"/>
    <mergeCell ref="AE12:AG12"/>
    <mergeCell ref="E13:E14"/>
    <mergeCell ref="F13:F14"/>
    <mergeCell ref="W13:X13"/>
    <mergeCell ref="Z13:AA13"/>
    <mergeCell ref="AC13:AD13"/>
    <mergeCell ref="AF13:AG13"/>
    <mergeCell ref="B39:C39"/>
    <mergeCell ref="D13:D14"/>
    <mergeCell ref="J13:J14"/>
    <mergeCell ref="M13:M14"/>
    <mergeCell ref="P13:P14"/>
    <mergeCell ref="S13:S14"/>
    <mergeCell ref="V13:V14"/>
    <mergeCell ref="Y13:Y14"/>
    <mergeCell ref="AB13:AB14"/>
    <mergeCell ref="AE13:AE14"/>
    <mergeCell ref="K13:L13"/>
    <mergeCell ref="J42:L42"/>
    <mergeCell ref="M42:O42"/>
    <mergeCell ref="S42:U42"/>
    <mergeCell ref="Y42:AA42"/>
    <mergeCell ref="AE42:AG42"/>
    <mergeCell ref="K43:L43"/>
    <mergeCell ref="N43:O43"/>
    <mergeCell ref="T43:U43"/>
    <mergeCell ref="Z43:AA43"/>
    <mergeCell ref="AF43:AG43"/>
    <mergeCell ref="B75:C75"/>
    <mergeCell ref="B12:B14"/>
    <mergeCell ref="B42:B44"/>
    <mergeCell ref="C12:C14"/>
    <mergeCell ref="C42:C44"/>
  </mergeCells>
  <printOptions horizontalCentered="1"/>
  <pageMargins left="0.94444444444444398" right="0.35416666666666702" top="0.98402777777777795" bottom="0.98402777777777795" header="0.51180555555555596" footer="0.51180555555555596"/>
  <pageSetup paperSize="9" scale="49" orientation="landscape" r:id="rId1"/>
  <colBreaks count="1" manualBreakCount="1">
    <brk id="18" max="39" man="1"/>
  </colBreaks>
  <drawing r:id="rId2"/>
  <legacyDrawing r:id="rId3"/>
  <oleObjects>
    <mc:AlternateContent xmlns:mc="http://schemas.openxmlformats.org/markup-compatibility/2006">
      <mc:Choice Requires="x14">
        <oleObject progId="PBrush" shapeId="7170" r:id="rId4">
          <objectPr defaultSize="0" autoPict="0" altText="" r:id="rId5">
            <anchor moveWithCells="1" sizeWithCells="1">
              <from>
                <xdr:col>13</xdr:col>
                <xdr:colOff>123825</xdr:colOff>
                <xdr:row>0</xdr:row>
                <xdr:rowOff>28575</xdr:rowOff>
              </from>
              <to>
                <xdr:col>14</xdr:col>
                <xdr:colOff>266700</xdr:colOff>
                <xdr:row>5</xdr:row>
                <xdr:rowOff>114300</xdr:rowOff>
              </to>
            </anchor>
          </objectPr>
        </oleObject>
      </mc:Choice>
      <mc:Fallback>
        <oleObject progId="PBrush" shapeId="7170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AC53"/>
  <sheetViews>
    <sheetView view="pageBreakPreview" zoomScale="84" zoomScaleNormal="100" workbookViewId="0">
      <selection activeCell="B9" sqref="B9:AB9"/>
    </sheetView>
  </sheetViews>
  <sheetFormatPr defaultColWidth="9.140625" defaultRowHeight="15"/>
  <cols>
    <col min="1" max="1" width="0.5703125" customWidth="1"/>
    <col min="2" max="2" width="4.140625" customWidth="1"/>
    <col min="3" max="3" width="33" customWidth="1"/>
    <col min="4" max="4" width="13.5703125" customWidth="1"/>
    <col min="5" max="5" width="11.42578125" customWidth="1"/>
    <col min="6" max="6" width="9.140625" customWidth="1"/>
    <col min="7" max="7" width="14.85546875" customWidth="1"/>
    <col min="8" max="8" width="12.140625" customWidth="1"/>
    <col min="9" max="9" width="8.5703125" customWidth="1"/>
    <col min="10" max="10" width="12.7109375" customWidth="1"/>
    <col min="11" max="11" width="11.42578125" customWidth="1"/>
    <col min="12" max="12" width="8.42578125" customWidth="1"/>
    <col min="13" max="15" width="12.140625" customWidth="1"/>
    <col min="16" max="16" width="16" customWidth="1"/>
    <col min="17" max="17" width="11.5703125" customWidth="1"/>
    <col min="18" max="18" width="9.42578125" customWidth="1"/>
    <col min="19" max="19" width="16" customWidth="1"/>
    <col min="20" max="20" width="11" customWidth="1"/>
    <col min="21" max="21" width="9.42578125" customWidth="1"/>
    <col min="22" max="22" width="13.42578125" customWidth="1"/>
    <col min="23" max="23" width="11.85546875" customWidth="1"/>
    <col min="24" max="24" width="6.28515625" customWidth="1"/>
    <col min="25" max="25" width="14" customWidth="1"/>
    <col min="26" max="26" width="11.85546875" customWidth="1"/>
    <col min="27" max="27" width="6.7109375" customWidth="1"/>
    <col min="29" max="29" width="11.7109375" customWidth="1"/>
  </cols>
  <sheetData>
    <row r="6" spans="2:29" ht="18">
      <c r="B6" s="354" t="s">
        <v>33</v>
      </c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  <c r="X6" s="354"/>
      <c r="Y6" s="354"/>
      <c r="Z6" s="354"/>
      <c r="AA6" s="354"/>
      <c r="AB6" s="354"/>
    </row>
    <row r="7" spans="2:29" ht="18">
      <c r="B7" s="354" t="s">
        <v>34</v>
      </c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4"/>
      <c r="X7" s="354"/>
      <c r="Y7" s="354"/>
      <c r="Z7" s="354"/>
      <c r="AA7" s="354"/>
      <c r="AB7" s="354"/>
    </row>
    <row r="8" spans="2:29" ht="15" customHeight="1">
      <c r="B8" s="354" t="s">
        <v>154</v>
      </c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354"/>
      <c r="X8" s="354"/>
      <c r="Y8" s="354"/>
      <c r="Z8" s="354"/>
      <c r="AA8" s="354"/>
      <c r="AB8" s="354"/>
    </row>
    <row r="9" spans="2:29" ht="15" customHeight="1">
      <c r="B9" s="354" t="s">
        <v>36</v>
      </c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</row>
    <row r="11" spans="2:29">
      <c r="B11" s="35"/>
    </row>
    <row r="12" spans="2:29">
      <c r="B12" s="348" t="s">
        <v>37</v>
      </c>
      <c r="C12" s="349" t="s">
        <v>38</v>
      </c>
      <c r="D12" s="356" t="s">
        <v>39</v>
      </c>
      <c r="E12" s="364"/>
      <c r="F12" s="364"/>
      <c r="G12" s="364"/>
      <c r="H12" s="364"/>
      <c r="I12" s="370"/>
      <c r="J12" s="357" t="s">
        <v>40</v>
      </c>
      <c r="K12" s="355"/>
      <c r="L12" s="358"/>
      <c r="M12" s="72"/>
      <c r="N12" s="72"/>
      <c r="O12" s="72"/>
      <c r="P12" s="359" t="s">
        <v>41</v>
      </c>
      <c r="Q12" s="355"/>
      <c r="R12" s="356"/>
      <c r="S12" s="72"/>
      <c r="T12" s="72"/>
      <c r="U12" s="72"/>
      <c r="V12" s="357" t="s">
        <v>42</v>
      </c>
      <c r="W12" s="355"/>
      <c r="X12" s="358"/>
      <c r="Y12" s="359" t="s">
        <v>43</v>
      </c>
      <c r="Z12" s="355"/>
      <c r="AA12" s="355"/>
    </row>
    <row r="13" spans="2:29" ht="28.5" customHeight="1">
      <c r="B13" s="348"/>
      <c r="C13" s="349"/>
      <c r="D13" s="343" t="s">
        <v>155</v>
      </c>
      <c r="E13" s="343" t="s">
        <v>45</v>
      </c>
      <c r="F13" s="352"/>
      <c r="G13" s="368" t="s">
        <v>156</v>
      </c>
      <c r="H13" s="343" t="s">
        <v>45</v>
      </c>
      <c r="I13" s="352"/>
      <c r="J13" s="39" t="s">
        <v>157</v>
      </c>
      <c r="K13" s="343" t="s">
        <v>45</v>
      </c>
      <c r="L13" s="352"/>
      <c r="M13" s="368" t="s">
        <v>156</v>
      </c>
      <c r="N13" s="343" t="s">
        <v>45</v>
      </c>
      <c r="O13" s="352"/>
      <c r="P13" s="39" t="s">
        <v>157</v>
      </c>
      <c r="Q13" s="343" t="s">
        <v>45</v>
      </c>
      <c r="R13" s="352"/>
      <c r="S13" s="368" t="s">
        <v>156</v>
      </c>
      <c r="T13" s="343" t="s">
        <v>45</v>
      </c>
      <c r="U13" s="352"/>
      <c r="V13" s="39" t="s">
        <v>44</v>
      </c>
      <c r="W13" s="343" t="s">
        <v>45</v>
      </c>
      <c r="X13" s="352"/>
      <c r="Y13" s="39" t="s">
        <v>44</v>
      </c>
      <c r="Z13" s="343" t="s">
        <v>45</v>
      </c>
      <c r="AA13" s="352"/>
      <c r="AC13" s="123" t="s">
        <v>158</v>
      </c>
    </row>
    <row r="14" spans="2:29" ht="30">
      <c r="B14" s="348"/>
      <c r="C14" s="349"/>
      <c r="D14" s="343"/>
      <c r="E14" s="73" t="s">
        <v>48</v>
      </c>
      <c r="F14" s="74" t="s">
        <v>49</v>
      </c>
      <c r="G14" s="369"/>
      <c r="H14" s="73" t="s">
        <v>48</v>
      </c>
      <c r="I14" s="74" t="s">
        <v>49</v>
      </c>
      <c r="J14" s="39" t="s">
        <v>47</v>
      </c>
      <c r="K14" s="73" t="s">
        <v>48</v>
      </c>
      <c r="L14" s="74" t="s">
        <v>49</v>
      </c>
      <c r="M14" s="369"/>
      <c r="N14" s="73" t="s">
        <v>48</v>
      </c>
      <c r="O14" s="74" t="s">
        <v>49</v>
      </c>
      <c r="P14" s="39" t="s">
        <v>47</v>
      </c>
      <c r="Q14" s="73" t="s">
        <v>48</v>
      </c>
      <c r="R14" s="74" t="s">
        <v>49</v>
      </c>
      <c r="S14" s="369"/>
      <c r="T14" s="73" t="s">
        <v>48</v>
      </c>
      <c r="U14" s="74" t="s">
        <v>49</v>
      </c>
      <c r="V14" s="39" t="s">
        <v>47</v>
      </c>
      <c r="W14" s="73" t="s">
        <v>48</v>
      </c>
      <c r="X14" s="74" t="s">
        <v>49</v>
      </c>
      <c r="Y14" s="39" t="s">
        <v>47</v>
      </c>
      <c r="Z14" s="73" t="s">
        <v>48</v>
      </c>
      <c r="AA14" s="74" t="s">
        <v>49</v>
      </c>
    </row>
    <row r="15" spans="2:29">
      <c r="B15" s="40"/>
      <c r="C15" s="41"/>
      <c r="D15" s="40"/>
      <c r="E15" s="40"/>
      <c r="F15" s="40"/>
      <c r="G15" s="167"/>
      <c r="H15" s="53"/>
      <c r="I15" s="76"/>
      <c r="J15" s="43"/>
      <c r="K15" s="53"/>
      <c r="L15" s="76"/>
      <c r="M15" s="77"/>
      <c r="N15" s="77"/>
      <c r="O15" s="77"/>
      <c r="P15" s="43"/>
      <c r="Q15" s="53"/>
      <c r="R15" s="76"/>
      <c r="S15" s="77"/>
      <c r="T15" s="77"/>
      <c r="U15" s="77"/>
      <c r="V15" s="43"/>
      <c r="W15" s="53"/>
      <c r="X15" s="76"/>
      <c r="Y15" s="43"/>
      <c r="Z15" s="53"/>
      <c r="AA15" s="76"/>
    </row>
    <row r="16" spans="2:29">
      <c r="B16" s="40" t="s">
        <v>50</v>
      </c>
      <c r="C16" s="44" t="s">
        <v>51</v>
      </c>
      <c r="D16" s="168">
        <f t="shared" ref="D16:G16" si="0">SUM(D17:D20)</f>
        <v>0</v>
      </c>
      <c r="E16" s="168">
        <f t="shared" si="0"/>
        <v>0</v>
      </c>
      <c r="F16" s="168">
        <f t="shared" si="0"/>
        <v>0</v>
      </c>
      <c r="G16" s="168">
        <f t="shared" si="0"/>
        <v>0</v>
      </c>
      <c r="H16" s="46">
        <f t="shared" ref="H16:O16" si="1">SUM(H17:H20)</f>
        <v>0</v>
      </c>
      <c r="I16" s="46">
        <f t="shared" si="1"/>
        <v>0</v>
      </c>
      <c r="J16" s="46">
        <f t="shared" si="1"/>
        <v>0</v>
      </c>
      <c r="K16" s="46">
        <f t="shared" si="1"/>
        <v>0</v>
      </c>
      <c r="L16" s="46">
        <f t="shared" si="1"/>
        <v>0</v>
      </c>
      <c r="M16" s="46">
        <f t="shared" si="1"/>
        <v>0</v>
      </c>
      <c r="N16" s="46">
        <f t="shared" si="1"/>
        <v>0</v>
      </c>
      <c r="O16" s="46">
        <f t="shared" si="1"/>
        <v>0</v>
      </c>
      <c r="P16" s="46">
        <f>SUM(P17:P21)</f>
        <v>0</v>
      </c>
      <c r="Q16" s="46">
        <f t="shared" ref="Q16:R16" si="2">SUM(Q17:Q21)</f>
        <v>0</v>
      </c>
      <c r="R16" s="46">
        <f t="shared" si="2"/>
        <v>0</v>
      </c>
      <c r="S16" s="46">
        <f t="shared" ref="S16" si="3">SUM(S17:S21)</f>
        <v>0</v>
      </c>
      <c r="T16" s="46">
        <f t="shared" ref="T16" si="4">SUM(T17:T21)</f>
        <v>0</v>
      </c>
      <c r="U16" s="46">
        <f t="shared" ref="U16" si="5">SUM(U17:U21)</f>
        <v>0</v>
      </c>
      <c r="V16" s="46">
        <f t="shared" ref="V16:X16" si="6">SUM(V17:V20)</f>
        <v>0</v>
      </c>
      <c r="W16" s="46">
        <f t="shared" si="6"/>
        <v>0</v>
      </c>
      <c r="X16" s="46">
        <f t="shared" si="6"/>
        <v>0</v>
      </c>
      <c r="Y16" s="46">
        <f>+Y17+Y18+Y19+Y20</f>
        <v>0</v>
      </c>
      <c r="Z16" s="46">
        <f t="shared" ref="Z16:AA16" si="7">+Z17+Z18+Z19+Z20</f>
        <v>0</v>
      </c>
      <c r="AA16" s="46">
        <f t="shared" si="7"/>
        <v>0</v>
      </c>
      <c r="AC16" s="220"/>
    </row>
    <row r="17" spans="2:29" ht="28.5">
      <c r="B17" s="169">
        <v>1</v>
      </c>
      <c r="C17" s="48" t="s">
        <v>52</v>
      </c>
      <c r="D17" s="170"/>
      <c r="E17" s="171"/>
      <c r="F17" s="172"/>
      <c r="G17" s="173"/>
      <c r="H17" s="174"/>
      <c r="I17" s="195"/>
      <c r="J17" s="196"/>
      <c r="K17" s="196"/>
      <c r="L17" s="196"/>
      <c r="M17" s="95"/>
      <c r="N17" s="174"/>
      <c r="O17" s="195"/>
      <c r="P17" s="196"/>
      <c r="Q17" s="190"/>
      <c r="R17" s="198"/>
      <c r="S17" s="207"/>
      <c r="T17" s="137"/>
      <c r="U17" s="138"/>
      <c r="V17" s="50"/>
      <c r="W17" s="82"/>
      <c r="X17" s="83"/>
      <c r="Y17" s="50">
        <f>+S17+P17+M17+J17+G17+D17</f>
        <v>0</v>
      </c>
      <c r="Z17" s="50">
        <f t="shared" ref="Z17:AA17" si="8">+T17+Q17+N17+K17+H17+E17</f>
        <v>0</v>
      </c>
      <c r="AA17" s="50">
        <f t="shared" si="8"/>
        <v>0</v>
      </c>
      <c r="AC17" s="220">
        <v>2</v>
      </c>
    </row>
    <row r="18" spans="2:29">
      <c r="B18" s="169">
        <v>3</v>
      </c>
      <c r="C18" s="48" t="s">
        <v>53</v>
      </c>
      <c r="D18" s="175"/>
      <c r="E18" s="175"/>
      <c r="F18" s="175"/>
      <c r="G18" s="173"/>
      <c r="H18" s="174"/>
      <c r="I18" s="195"/>
      <c r="J18" s="196"/>
      <c r="K18" s="50"/>
      <c r="L18" s="50"/>
      <c r="M18" s="95"/>
      <c r="N18" s="174"/>
      <c r="O18" s="195"/>
      <c r="P18" s="191"/>
      <c r="Q18" s="191"/>
      <c r="R18" s="191"/>
      <c r="S18" s="207"/>
      <c r="T18" s="208"/>
      <c r="U18" s="209"/>
      <c r="V18" s="210"/>
      <c r="W18" s="208"/>
      <c r="X18" s="209"/>
      <c r="Y18" s="50">
        <f t="shared" ref="Y18:Y20" si="9">+S18+P18+M18+J18+G18+D18</f>
        <v>0</v>
      </c>
      <c r="Z18" s="50">
        <f t="shared" ref="Z18:Z20" si="10">+T18+Q18+N18+K18+H18+E18</f>
        <v>0</v>
      </c>
      <c r="AA18" s="50">
        <f t="shared" ref="AA18:AA20" si="11">+U18+R18+O18+L18+I18+F18</f>
        <v>0</v>
      </c>
      <c r="AC18" s="220">
        <v>3</v>
      </c>
    </row>
    <row r="19" spans="2:29">
      <c r="B19" s="169">
        <v>4</v>
      </c>
      <c r="C19" s="48" t="s">
        <v>54</v>
      </c>
      <c r="D19" s="175"/>
      <c r="E19" s="175"/>
      <c r="F19" s="175"/>
      <c r="G19" s="173"/>
      <c r="H19" s="174"/>
      <c r="I19" s="195"/>
      <c r="J19" s="196"/>
      <c r="K19" s="50"/>
      <c r="L19" s="50"/>
      <c r="M19" s="95"/>
      <c r="N19" s="174"/>
      <c r="O19" s="195"/>
      <c r="P19" s="196"/>
      <c r="Q19" s="196"/>
      <c r="R19" s="196"/>
      <c r="S19" s="207"/>
      <c r="T19" s="208"/>
      <c r="U19" s="209"/>
      <c r="V19" s="210"/>
      <c r="W19" s="208"/>
      <c r="X19" s="209"/>
      <c r="Y19" s="50">
        <f t="shared" si="9"/>
        <v>0</v>
      </c>
      <c r="Z19" s="50">
        <f t="shared" si="10"/>
        <v>0</v>
      </c>
      <c r="AA19" s="50">
        <f t="shared" si="11"/>
        <v>0</v>
      </c>
      <c r="AC19" s="220"/>
    </row>
    <row r="20" spans="2:29">
      <c r="B20" s="169">
        <v>5</v>
      </c>
      <c r="C20" s="48" t="s">
        <v>55</v>
      </c>
      <c r="D20" s="175"/>
      <c r="E20" s="175"/>
      <c r="F20" s="175"/>
      <c r="G20" s="173"/>
      <c r="H20" s="174"/>
      <c r="I20" s="195"/>
      <c r="J20" s="196"/>
      <c r="K20" s="50"/>
      <c r="L20" s="50"/>
      <c r="M20" s="95"/>
      <c r="N20" s="174"/>
      <c r="O20" s="195"/>
      <c r="P20" s="196"/>
      <c r="Q20" s="196"/>
      <c r="R20" s="196"/>
      <c r="S20" s="207"/>
      <c r="T20" s="208"/>
      <c r="U20" s="209"/>
      <c r="V20" s="210"/>
      <c r="W20" s="208"/>
      <c r="X20" s="209"/>
      <c r="Y20" s="50">
        <f t="shared" si="9"/>
        <v>0</v>
      </c>
      <c r="Z20" s="50">
        <f t="shared" si="10"/>
        <v>0</v>
      </c>
      <c r="AA20" s="50">
        <f t="shared" si="11"/>
        <v>0</v>
      </c>
      <c r="AC20" s="220">
        <v>4</v>
      </c>
    </row>
    <row r="21" spans="2:29">
      <c r="B21" s="51"/>
      <c r="C21" s="48"/>
      <c r="D21" s="176"/>
      <c r="E21" s="176"/>
      <c r="F21" s="176"/>
      <c r="G21" s="177"/>
      <c r="H21" s="178"/>
      <c r="I21" s="197"/>
      <c r="J21" s="50"/>
      <c r="K21" s="50"/>
      <c r="L21" s="50"/>
      <c r="M21" s="89"/>
      <c r="N21" s="89"/>
      <c r="O21" s="89"/>
      <c r="P21" s="196"/>
      <c r="Q21" s="196"/>
      <c r="R21" s="196"/>
      <c r="S21" s="89"/>
      <c r="T21" s="89"/>
      <c r="U21" s="89"/>
      <c r="V21" s="136"/>
      <c r="W21" s="137"/>
      <c r="X21" s="138"/>
      <c r="Y21" s="56"/>
      <c r="Z21" s="47"/>
      <c r="AA21" s="85"/>
      <c r="AC21" s="220"/>
    </row>
    <row r="22" spans="2:29">
      <c r="B22" s="53" t="s">
        <v>56</v>
      </c>
      <c r="C22" s="54" t="s">
        <v>57</v>
      </c>
      <c r="D22" s="168">
        <f t="shared" ref="D22:G22" si="12">SUM(D23:D34)</f>
        <v>0</v>
      </c>
      <c r="E22" s="168">
        <f t="shared" si="12"/>
        <v>0</v>
      </c>
      <c r="F22" s="168">
        <f t="shared" si="12"/>
        <v>0</v>
      </c>
      <c r="G22" s="168">
        <f t="shared" si="12"/>
        <v>0</v>
      </c>
      <c r="H22" s="46">
        <f t="shared" ref="H22:P22" si="13">SUM(H23:H34)</f>
        <v>0</v>
      </c>
      <c r="I22" s="46">
        <f t="shared" si="13"/>
        <v>0</v>
      </c>
      <c r="J22" s="46">
        <f t="shared" si="13"/>
        <v>0</v>
      </c>
      <c r="K22" s="46">
        <f t="shared" si="13"/>
        <v>0</v>
      </c>
      <c r="L22" s="46">
        <f t="shared" si="13"/>
        <v>0</v>
      </c>
      <c r="M22" s="46">
        <f t="shared" si="13"/>
        <v>0</v>
      </c>
      <c r="N22" s="46">
        <f t="shared" si="13"/>
        <v>0</v>
      </c>
      <c r="O22" s="46">
        <f t="shared" si="13"/>
        <v>0</v>
      </c>
      <c r="P22" s="46">
        <f t="shared" si="13"/>
        <v>0</v>
      </c>
      <c r="Q22" s="46">
        <f t="shared" ref="Q22:R22" si="14">SUM(Q23:Q34)</f>
        <v>0</v>
      </c>
      <c r="R22" s="46">
        <f t="shared" si="14"/>
        <v>0</v>
      </c>
      <c r="S22" s="46">
        <f t="shared" ref="S22" si="15">SUM(S23:S34)</f>
        <v>0</v>
      </c>
      <c r="T22" s="46">
        <f t="shared" ref="T22" si="16">SUM(T23:T34)</f>
        <v>0</v>
      </c>
      <c r="U22" s="46">
        <f t="shared" ref="U22" si="17">SUM(U23:U34)</f>
        <v>0</v>
      </c>
      <c r="V22" s="46">
        <f t="shared" ref="V22:X22" si="18">SUM(V23:V34)</f>
        <v>0</v>
      </c>
      <c r="W22" s="46">
        <f t="shared" si="18"/>
        <v>0</v>
      </c>
      <c r="X22" s="46">
        <f t="shared" si="18"/>
        <v>0</v>
      </c>
      <c r="Y22" s="46">
        <f>+Y23+Y24+Y25+Y26+Y27+Y28+Y29+Y30+Y31+Y32+Y33+Y34</f>
        <v>0</v>
      </c>
      <c r="Z22" s="78">
        <f t="shared" ref="Z22:AA22" si="19">SUM(Z23:Z34)</f>
        <v>0</v>
      </c>
      <c r="AA22" s="79">
        <f t="shared" si="19"/>
        <v>0</v>
      </c>
      <c r="AC22" s="220"/>
    </row>
    <row r="23" spans="2:29">
      <c r="B23" s="51">
        <v>6</v>
      </c>
      <c r="C23" s="48" t="s">
        <v>58</v>
      </c>
      <c r="D23" s="179"/>
      <c r="E23" s="180"/>
      <c r="F23" s="181"/>
      <c r="G23" s="173"/>
      <c r="H23" s="174"/>
      <c r="I23" s="195"/>
      <c r="J23" s="196"/>
      <c r="K23" s="190"/>
      <c r="L23" s="198"/>
      <c r="M23" s="95"/>
      <c r="N23" s="199"/>
      <c r="O23" s="200"/>
      <c r="P23" s="196"/>
      <c r="Q23" s="190"/>
      <c r="R23" s="198"/>
      <c r="S23" s="207"/>
      <c r="T23" s="208"/>
      <c r="U23" s="209"/>
      <c r="V23" s="210"/>
      <c r="W23" s="208"/>
      <c r="X23" s="209"/>
      <c r="Y23" s="56">
        <f>+D23+G23+J23+M23+P23+S23</f>
        <v>0</v>
      </c>
      <c r="Z23" s="56">
        <f>+E23+H23+K23+N23+Q23+T23</f>
        <v>0</v>
      </c>
      <c r="AA23" s="56">
        <f>+F23+I23+L23+O23+R23+U23</f>
        <v>0</v>
      </c>
      <c r="AC23" s="220">
        <v>7</v>
      </c>
    </row>
    <row r="24" spans="2:29">
      <c r="B24" s="51">
        <v>7</v>
      </c>
      <c r="C24" s="48" t="s">
        <v>59</v>
      </c>
      <c r="D24" s="176"/>
      <c r="E24" s="176"/>
      <c r="F24" s="176"/>
      <c r="G24" s="173"/>
      <c r="H24" s="174"/>
      <c r="I24" s="195"/>
      <c r="J24" s="196"/>
      <c r="K24" s="196"/>
      <c r="L24" s="196"/>
      <c r="M24" s="95"/>
      <c r="N24" s="199"/>
      <c r="O24" s="200"/>
      <c r="P24" s="196"/>
      <c r="Q24" s="196"/>
      <c r="R24" s="196"/>
      <c r="S24" s="207"/>
      <c r="T24" s="208"/>
      <c r="U24" s="209"/>
      <c r="V24" s="210"/>
      <c r="W24" s="208"/>
      <c r="X24" s="209"/>
      <c r="Y24" s="56">
        <f t="shared" ref="Y24:Y34" si="20">+D24+G24+J24+M24+P24+S24</f>
        <v>0</v>
      </c>
      <c r="Z24" s="56">
        <f t="shared" ref="Z24:Z34" si="21">+E24+H24+K24+N24+Q24+T24</f>
        <v>0</v>
      </c>
      <c r="AA24" s="56">
        <f t="shared" ref="AA24:AA34" si="22">+F24+I24+L24+O24+R24+U24</f>
        <v>0</v>
      </c>
      <c r="AC24" s="220">
        <v>15</v>
      </c>
    </row>
    <row r="25" spans="2:29" ht="28.5">
      <c r="B25" s="51">
        <v>8</v>
      </c>
      <c r="C25" s="48" t="s">
        <v>60</v>
      </c>
      <c r="D25" s="176"/>
      <c r="E25" s="176"/>
      <c r="F25" s="176"/>
      <c r="G25" s="182"/>
      <c r="H25" s="178"/>
      <c r="I25" s="197"/>
      <c r="J25" s="50"/>
      <c r="K25" s="50"/>
      <c r="L25" s="50"/>
      <c r="M25" s="95"/>
      <c r="N25" s="199"/>
      <c r="O25" s="200"/>
      <c r="P25" s="196"/>
      <c r="Q25" s="196"/>
      <c r="R25" s="196"/>
      <c r="S25" s="207"/>
      <c r="T25" s="208"/>
      <c r="U25" s="209"/>
      <c r="V25" s="210"/>
      <c r="W25" s="208"/>
      <c r="X25" s="209"/>
      <c r="Y25" s="56">
        <f t="shared" si="20"/>
        <v>0</v>
      </c>
      <c r="Z25" s="56">
        <f t="shared" si="21"/>
        <v>0</v>
      </c>
      <c r="AA25" s="56">
        <f t="shared" si="22"/>
        <v>0</v>
      </c>
      <c r="AC25" s="220">
        <v>16</v>
      </c>
    </row>
    <row r="26" spans="2:29">
      <c r="B26" s="51">
        <v>9</v>
      </c>
      <c r="C26" s="48" t="s">
        <v>61</v>
      </c>
      <c r="D26" s="176"/>
      <c r="E26" s="176"/>
      <c r="F26" s="176"/>
      <c r="G26" s="182"/>
      <c r="H26" s="178"/>
      <c r="I26" s="197"/>
      <c r="J26" s="50"/>
      <c r="K26" s="50"/>
      <c r="L26" s="50"/>
      <c r="M26" s="96"/>
      <c r="N26" s="201"/>
      <c r="O26" s="202"/>
      <c r="P26" s="196"/>
      <c r="Q26" s="196"/>
      <c r="R26" s="196"/>
      <c r="S26" s="207"/>
      <c r="T26" s="208"/>
      <c r="U26" s="209"/>
      <c r="V26" s="210"/>
      <c r="W26" s="208"/>
      <c r="X26" s="209"/>
      <c r="Y26" s="56">
        <f t="shared" si="20"/>
        <v>0</v>
      </c>
      <c r="Z26" s="56">
        <f t="shared" si="21"/>
        <v>0</v>
      </c>
      <c r="AA26" s="56">
        <f t="shared" si="22"/>
        <v>0</v>
      </c>
      <c r="AC26" s="220">
        <v>18</v>
      </c>
    </row>
    <row r="27" spans="2:29">
      <c r="B27" s="51">
        <v>10</v>
      </c>
      <c r="C27" s="48" t="s">
        <v>62</v>
      </c>
      <c r="D27" s="176"/>
      <c r="E27" s="176"/>
      <c r="F27" s="176"/>
      <c r="G27" s="173"/>
      <c r="H27" s="174"/>
      <c r="I27" s="195"/>
      <c r="J27" s="50"/>
      <c r="K27" s="50"/>
      <c r="L27" s="50"/>
      <c r="M27" s="96"/>
      <c r="N27" s="203"/>
      <c r="O27" s="202"/>
      <c r="P27" s="196"/>
      <c r="Q27" s="196"/>
      <c r="R27" s="196"/>
      <c r="S27" s="207"/>
      <c r="T27" s="211"/>
      <c r="U27" s="209"/>
      <c r="V27" s="210"/>
      <c r="W27" s="208"/>
      <c r="X27" s="209"/>
      <c r="Y27" s="56">
        <f t="shared" si="20"/>
        <v>0</v>
      </c>
      <c r="Z27" s="56">
        <f t="shared" si="21"/>
        <v>0</v>
      </c>
      <c r="AA27" s="56">
        <f t="shared" si="22"/>
        <v>0</v>
      </c>
      <c r="AC27" s="220">
        <v>17</v>
      </c>
    </row>
    <row r="28" spans="2:29">
      <c r="B28" s="51">
        <v>11</v>
      </c>
      <c r="C28" s="48" t="s">
        <v>63</v>
      </c>
      <c r="D28" s="176"/>
      <c r="E28" s="101"/>
      <c r="F28" s="183"/>
      <c r="G28" s="173"/>
      <c r="H28" s="174"/>
      <c r="I28" s="195"/>
      <c r="J28" s="50"/>
      <c r="K28" s="50"/>
      <c r="L28" s="50"/>
      <c r="M28" s="96"/>
      <c r="N28" s="201"/>
      <c r="O28" s="202"/>
      <c r="P28" s="196"/>
      <c r="Q28" s="190"/>
      <c r="R28" s="198"/>
      <c r="S28" s="207"/>
      <c r="T28" s="208"/>
      <c r="U28" s="209"/>
      <c r="V28" s="210"/>
      <c r="W28" s="208"/>
      <c r="X28" s="209"/>
      <c r="Y28" s="56">
        <f t="shared" si="20"/>
        <v>0</v>
      </c>
      <c r="Z28" s="56">
        <f t="shared" si="21"/>
        <v>0</v>
      </c>
      <c r="AA28" s="56">
        <f t="shared" si="22"/>
        <v>0</v>
      </c>
      <c r="AC28" s="220">
        <v>6</v>
      </c>
    </row>
    <row r="29" spans="2:29">
      <c r="B29" s="51">
        <v>12</v>
      </c>
      <c r="C29" s="48" t="s">
        <v>64</v>
      </c>
      <c r="D29" s="176"/>
      <c r="E29" s="101"/>
      <c r="F29" s="183"/>
      <c r="G29" s="173"/>
      <c r="H29" s="174"/>
      <c r="I29" s="195"/>
      <c r="J29" s="50"/>
      <c r="K29" s="103"/>
      <c r="L29" s="104"/>
      <c r="M29" s="96"/>
      <c r="N29" s="106"/>
      <c r="O29" s="107"/>
      <c r="P29" s="196"/>
      <c r="Q29" s="190"/>
      <c r="R29" s="198"/>
      <c r="S29" s="207"/>
      <c r="T29" s="208"/>
      <c r="U29" s="209"/>
      <c r="V29" s="210"/>
      <c r="W29" s="208"/>
      <c r="X29" s="209"/>
      <c r="Y29" s="56">
        <f t="shared" si="20"/>
        <v>0</v>
      </c>
      <c r="Z29" s="56">
        <f t="shared" si="21"/>
        <v>0</v>
      </c>
      <c r="AA29" s="56">
        <f t="shared" si="22"/>
        <v>0</v>
      </c>
      <c r="AC29" s="220">
        <v>14</v>
      </c>
    </row>
    <row r="30" spans="2:29">
      <c r="B30" s="51">
        <v>13</v>
      </c>
      <c r="C30" s="48" t="s">
        <v>65</v>
      </c>
      <c r="D30" s="176"/>
      <c r="E30" s="176"/>
      <c r="F30" s="176"/>
      <c r="G30" s="173"/>
      <c r="H30" s="174"/>
      <c r="I30" s="195"/>
      <c r="J30" s="101"/>
      <c r="K30" s="101"/>
      <c r="L30" s="101"/>
      <c r="M30" s="96"/>
      <c r="N30" s="106"/>
      <c r="O30" s="107"/>
      <c r="P30" s="196"/>
      <c r="Q30" s="196"/>
      <c r="R30" s="196"/>
      <c r="S30" s="207"/>
      <c r="T30" s="208"/>
      <c r="U30" s="209"/>
      <c r="V30" s="210"/>
      <c r="W30" s="208"/>
      <c r="X30" s="209"/>
      <c r="Y30" s="56">
        <f t="shared" si="20"/>
        <v>0</v>
      </c>
      <c r="Z30" s="56">
        <f t="shared" si="21"/>
        <v>0</v>
      </c>
      <c r="AA30" s="56">
        <f t="shared" si="22"/>
        <v>0</v>
      </c>
      <c r="AC30" s="220">
        <v>11</v>
      </c>
    </row>
    <row r="31" spans="2:29" ht="28.5">
      <c r="B31" s="51">
        <v>14</v>
      </c>
      <c r="C31" s="48" t="s">
        <v>67</v>
      </c>
      <c r="D31" s="176"/>
      <c r="E31" s="176"/>
      <c r="F31" s="176"/>
      <c r="G31" s="176"/>
      <c r="H31" s="176"/>
      <c r="I31" s="176"/>
      <c r="J31" s="190"/>
      <c r="K31" s="190"/>
      <c r="L31" s="190"/>
      <c r="M31" s="97"/>
      <c r="N31" s="106"/>
      <c r="O31" s="107"/>
      <c r="P31" s="196"/>
      <c r="Q31" s="196"/>
      <c r="R31" s="196"/>
      <c r="S31" s="210"/>
      <c r="T31" s="208"/>
      <c r="U31" s="209"/>
      <c r="V31" s="210"/>
      <c r="W31" s="208"/>
      <c r="X31" s="209"/>
      <c r="Y31" s="56">
        <f t="shared" si="20"/>
        <v>0</v>
      </c>
      <c r="Z31" s="56">
        <f t="shared" si="21"/>
        <v>0</v>
      </c>
      <c r="AA31" s="56">
        <f t="shared" si="22"/>
        <v>0</v>
      </c>
      <c r="AC31" s="220"/>
    </row>
    <row r="32" spans="2:29" ht="28.5">
      <c r="B32" s="51">
        <v>15</v>
      </c>
      <c r="C32" s="48" t="s">
        <v>68</v>
      </c>
      <c r="D32" s="176"/>
      <c r="E32" s="176"/>
      <c r="F32" s="176"/>
      <c r="G32" s="176"/>
      <c r="H32" s="176"/>
      <c r="I32" s="176"/>
      <c r="J32" s="101"/>
      <c r="K32" s="101"/>
      <c r="L32" s="101"/>
      <c r="M32" s="107"/>
      <c r="N32" s="107"/>
      <c r="O32" s="107"/>
      <c r="P32" s="196"/>
      <c r="Q32" s="196"/>
      <c r="R32" s="196"/>
      <c r="S32" s="210"/>
      <c r="T32" s="208"/>
      <c r="U32" s="209"/>
      <c r="V32" s="210"/>
      <c r="W32" s="208"/>
      <c r="X32" s="209"/>
      <c r="Y32" s="56">
        <f t="shared" si="20"/>
        <v>0</v>
      </c>
      <c r="Z32" s="56">
        <f t="shared" si="21"/>
        <v>0</v>
      </c>
      <c r="AA32" s="56">
        <f t="shared" si="22"/>
        <v>0</v>
      </c>
      <c r="AC32" s="220"/>
    </row>
    <row r="33" spans="1:29" ht="28.5">
      <c r="B33" s="51">
        <v>16</v>
      </c>
      <c r="C33" s="48" t="s">
        <v>69</v>
      </c>
      <c r="D33" s="176"/>
      <c r="E33" s="176"/>
      <c r="F33" s="176"/>
      <c r="G33" s="176"/>
      <c r="H33" s="176"/>
      <c r="I33" s="176"/>
      <c r="J33" s="190"/>
      <c r="K33" s="190"/>
      <c r="L33" s="190"/>
      <c r="M33" s="107"/>
      <c r="N33" s="107"/>
      <c r="O33" s="107"/>
      <c r="P33" s="196"/>
      <c r="Q33" s="196"/>
      <c r="R33" s="196"/>
      <c r="S33" s="210"/>
      <c r="T33" s="208"/>
      <c r="U33" s="209"/>
      <c r="V33" s="210"/>
      <c r="W33" s="208"/>
      <c r="X33" s="209"/>
      <c r="Y33" s="56">
        <f t="shared" si="20"/>
        <v>0</v>
      </c>
      <c r="Z33" s="56">
        <f t="shared" si="21"/>
        <v>0</v>
      </c>
      <c r="AA33" s="56">
        <f t="shared" si="22"/>
        <v>0</v>
      </c>
      <c r="AC33" s="220"/>
    </row>
    <row r="34" spans="1:29">
      <c r="B34" s="51">
        <v>17</v>
      </c>
      <c r="C34" s="48" t="s">
        <v>70</v>
      </c>
      <c r="D34" s="176"/>
      <c r="E34" s="176"/>
      <c r="F34" s="176"/>
      <c r="G34" s="176"/>
      <c r="H34" s="176"/>
      <c r="I34" s="176"/>
      <c r="J34" s="196"/>
      <c r="K34" s="190"/>
      <c r="L34" s="198"/>
      <c r="M34" s="107"/>
      <c r="N34" s="107"/>
      <c r="O34" s="107"/>
      <c r="P34" s="196"/>
      <c r="Q34" s="196"/>
      <c r="R34" s="196"/>
      <c r="S34" s="212"/>
      <c r="T34" s="213"/>
      <c r="U34" s="138"/>
      <c r="V34" s="136"/>
      <c r="W34" s="137"/>
      <c r="X34" s="138"/>
      <c r="Y34" s="56">
        <f t="shared" si="20"/>
        <v>0</v>
      </c>
      <c r="Z34" s="56">
        <f t="shared" si="21"/>
        <v>0</v>
      </c>
      <c r="AA34" s="56">
        <f t="shared" si="22"/>
        <v>0</v>
      </c>
      <c r="AC34" s="220"/>
    </row>
    <row r="35" spans="1:29">
      <c r="B35" s="51"/>
      <c r="C35" s="48"/>
      <c r="D35" s="184"/>
      <c r="E35" s="184"/>
      <c r="F35" s="184"/>
      <c r="G35" s="176"/>
      <c r="H35" s="176"/>
      <c r="I35" s="176"/>
      <c r="J35" s="52"/>
      <c r="K35" s="47"/>
      <c r="L35" s="85"/>
      <c r="M35" s="131"/>
      <c r="N35" s="131"/>
      <c r="O35" s="131"/>
      <c r="P35" s="148"/>
      <c r="Q35" s="153"/>
      <c r="R35" s="152"/>
      <c r="S35" s="131"/>
      <c r="T35" s="131"/>
      <c r="U35" s="131"/>
      <c r="V35" s="136"/>
      <c r="W35" s="137"/>
      <c r="X35" s="138"/>
      <c r="Y35" s="56"/>
      <c r="Z35" s="47"/>
      <c r="AA35" s="85"/>
      <c r="AC35" s="220"/>
    </row>
    <row r="36" spans="1:29">
      <c r="B36" s="53" t="s">
        <v>71</v>
      </c>
      <c r="C36" s="54" t="s">
        <v>72</v>
      </c>
      <c r="D36" s="46">
        <f t="shared" ref="D36:G36" si="23">SUM(D37:D43)</f>
        <v>0</v>
      </c>
      <c r="E36" s="46">
        <f t="shared" si="23"/>
        <v>0</v>
      </c>
      <c r="F36" s="46">
        <f t="shared" si="23"/>
        <v>0</v>
      </c>
      <c r="G36" s="46">
        <f t="shared" si="23"/>
        <v>0</v>
      </c>
      <c r="H36" s="46">
        <f t="shared" ref="H36:P36" si="24">SUM(H37:H43)</f>
        <v>0</v>
      </c>
      <c r="I36" s="46">
        <f t="shared" si="24"/>
        <v>0</v>
      </c>
      <c r="J36" s="46">
        <f t="shared" si="24"/>
        <v>0</v>
      </c>
      <c r="K36" s="46">
        <f t="shared" si="24"/>
        <v>0</v>
      </c>
      <c r="L36" s="46">
        <f t="shared" si="24"/>
        <v>0</v>
      </c>
      <c r="M36" s="46">
        <f t="shared" si="24"/>
        <v>0</v>
      </c>
      <c r="N36" s="46">
        <f t="shared" si="24"/>
        <v>0</v>
      </c>
      <c r="O36" s="46">
        <f t="shared" si="24"/>
        <v>0</v>
      </c>
      <c r="P36" s="46">
        <f t="shared" si="24"/>
        <v>0</v>
      </c>
      <c r="Q36" s="46">
        <f t="shared" ref="Q36:Y36" si="25">SUM(Q37:Q43)</f>
        <v>0</v>
      </c>
      <c r="R36" s="46">
        <f t="shared" si="25"/>
        <v>0</v>
      </c>
      <c r="S36" s="46">
        <f t="shared" si="25"/>
        <v>0</v>
      </c>
      <c r="T36" s="46">
        <f t="shared" si="25"/>
        <v>0</v>
      </c>
      <c r="U36" s="46">
        <f t="shared" si="25"/>
        <v>0</v>
      </c>
      <c r="V36" s="46">
        <f t="shared" si="25"/>
        <v>0</v>
      </c>
      <c r="W36" s="46">
        <f t="shared" si="25"/>
        <v>0</v>
      </c>
      <c r="X36" s="46">
        <f t="shared" si="25"/>
        <v>0</v>
      </c>
      <c r="Y36" s="46">
        <f t="shared" si="25"/>
        <v>0</v>
      </c>
      <c r="Z36" s="78">
        <f t="shared" ref="Z36:AA36" si="26">SUM(Z37:Z43)</f>
        <v>0</v>
      </c>
      <c r="AA36" s="79">
        <f t="shared" si="26"/>
        <v>0</v>
      </c>
      <c r="AC36" s="220"/>
    </row>
    <row r="37" spans="1:29">
      <c r="A37" s="166"/>
      <c r="B37" s="51">
        <v>18</v>
      </c>
      <c r="C37" s="48" t="s">
        <v>73</v>
      </c>
      <c r="D37" s="185"/>
      <c r="E37" s="186"/>
      <c r="F37" s="162"/>
      <c r="G37" s="182"/>
      <c r="H37" s="178"/>
      <c r="I37" s="197"/>
      <c r="J37" s="56"/>
      <c r="K37" s="101"/>
      <c r="L37" s="102"/>
      <c r="M37" s="147"/>
      <c r="N37" s="151"/>
      <c r="O37" s="152"/>
      <c r="P37" s="196"/>
      <c r="Q37" s="190"/>
      <c r="R37" s="198"/>
      <c r="S37" s="212"/>
      <c r="T37" s="213"/>
      <c r="U37" s="138"/>
      <c r="V37" s="136"/>
      <c r="W37" s="137"/>
      <c r="X37" s="138"/>
      <c r="Y37" s="56">
        <f>+D37+G37+J37+M37+P37+S37</f>
        <v>0</v>
      </c>
      <c r="Z37" s="56">
        <f>+E37+H37+K37+N37+Q37+T37</f>
        <v>0</v>
      </c>
      <c r="AA37" s="56">
        <f>+F37+I37+L37+O37+R37+U37</f>
        <v>0</v>
      </c>
      <c r="AC37" s="220">
        <v>10</v>
      </c>
    </row>
    <row r="38" spans="1:29">
      <c r="A38" s="166"/>
      <c r="B38" s="51">
        <v>19</v>
      </c>
      <c r="C38" s="48" t="s">
        <v>74</v>
      </c>
      <c r="D38" s="175"/>
      <c r="E38" s="103"/>
      <c r="F38" s="187"/>
      <c r="G38" s="182"/>
      <c r="H38" s="178"/>
      <c r="I38" s="197"/>
      <c r="J38" s="50"/>
      <c r="K38" s="50"/>
      <c r="L38" s="50"/>
      <c r="M38" s="147"/>
      <c r="N38" s="151"/>
      <c r="O38" s="152"/>
      <c r="P38" s="196"/>
      <c r="Q38" s="196"/>
      <c r="R38" s="196"/>
      <c r="S38" s="212"/>
      <c r="T38" s="213"/>
      <c r="U38" s="138"/>
      <c r="V38" s="136"/>
      <c r="W38" s="137"/>
      <c r="X38" s="138"/>
      <c r="Y38" s="56">
        <f t="shared" ref="Y38:Y43" si="27">+D38+G38+J38+M38+P38+S38</f>
        <v>0</v>
      </c>
      <c r="Z38" s="56">
        <f t="shared" ref="Z38:Z43" si="28">+E38+H38+K38+N38+Q38+T38</f>
        <v>0</v>
      </c>
      <c r="AA38" s="56">
        <f t="shared" ref="AA38:AA43" si="29">+F38+I38+L38+O38+R38+U38</f>
        <v>0</v>
      </c>
      <c r="AC38" s="220">
        <v>5</v>
      </c>
    </row>
    <row r="39" spans="1:29">
      <c r="A39" s="166"/>
      <c r="B39" s="51">
        <v>20</v>
      </c>
      <c r="C39" s="48" t="s">
        <v>75</v>
      </c>
      <c r="D39" s="188"/>
      <c r="E39" s="103"/>
      <c r="F39" s="187"/>
      <c r="G39" s="182"/>
      <c r="H39" s="178"/>
      <c r="I39" s="197"/>
      <c r="J39" s="50"/>
      <c r="K39" s="50"/>
      <c r="L39" s="50"/>
      <c r="M39" s="147"/>
      <c r="N39" s="151"/>
      <c r="O39" s="152"/>
      <c r="P39" s="196"/>
      <c r="Q39" s="190"/>
      <c r="R39" s="198"/>
      <c r="S39" s="212"/>
      <c r="T39" s="213"/>
      <c r="U39" s="138"/>
      <c r="V39" s="136"/>
      <c r="W39" s="137"/>
      <c r="X39" s="138"/>
      <c r="Y39" s="56">
        <f t="shared" si="27"/>
        <v>0</v>
      </c>
      <c r="Z39" s="56">
        <f t="shared" si="28"/>
        <v>0</v>
      </c>
      <c r="AA39" s="56">
        <f t="shared" si="29"/>
        <v>0</v>
      </c>
      <c r="AC39" s="220">
        <v>8</v>
      </c>
    </row>
    <row r="40" spans="1:29">
      <c r="A40" s="166"/>
      <c r="B40" s="51">
        <v>21</v>
      </c>
      <c r="C40" s="48" t="s">
        <v>76</v>
      </c>
      <c r="D40" s="189"/>
      <c r="E40" s="190"/>
      <c r="F40" s="191"/>
      <c r="G40" s="182"/>
      <c r="H40" s="178"/>
      <c r="I40" s="197"/>
      <c r="J40" s="196"/>
      <c r="K40" s="190"/>
      <c r="L40" s="198"/>
      <c r="M40" s="147"/>
      <c r="N40" s="151"/>
      <c r="O40" s="152"/>
      <c r="P40" s="196"/>
      <c r="Q40" s="190"/>
      <c r="R40" s="198"/>
      <c r="S40" s="212"/>
      <c r="T40" s="213"/>
      <c r="U40" s="138"/>
      <c r="V40" s="136"/>
      <c r="W40" s="137"/>
      <c r="X40" s="138"/>
      <c r="Y40" s="56">
        <f t="shared" si="27"/>
        <v>0</v>
      </c>
      <c r="Z40" s="56">
        <f t="shared" si="28"/>
        <v>0</v>
      </c>
      <c r="AA40" s="56">
        <f t="shared" si="29"/>
        <v>0</v>
      </c>
      <c r="AC40" s="220">
        <v>1</v>
      </c>
    </row>
    <row r="41" spans="1:29" ht="28.5">
      <c r="A41" s="166"/>
      <c r="B41" s="51">
        <v>22</v>
      </c>
      <c r="C41" s="48" t="s">
        <v>77</v>
      </c>
      <c r="D41" s="185"/>
      <c r="E41" s="101"/>
      <c r="F41" s="183"/>
      <c r="G41" s="182"/>
      <c r="H41" s="178"/>
      <c r="I41" s="197"/>
      <c r="J41" s="56"/>
      <c r="K41" s="101"/>
      <c r="L41" s="102"/>
      <c r="M41" s="147"/>
      <c r="N41" s="151"/>
      <c r="O41" s="152"/>
      <c r="P41" s="196"/>
      <c r="Q41" s="190"/>
      <c r="R41" s="198"/>
      <c r="S41" s="212"/>
      <c r="T41" s="213"/>
      <c r="U41" s="138"/>
      <c r="V41" s="136"/>
      <c r="W41" s="137"/>
      <c r="X41" s="138"/>
      <c r="Y41" s="56">
        <f t="shared" si="27"/>
        <v>0</v>
      </c>
      <c r="Z41" s="56">
        <f t="shared" si="28"/>
        <v>0</v>
      </c>
      <c r="AA41" s="56">
        <f t="shared" si="29"/>
        <v>0</v>
      </c>
      <c r="AC41" s="220">
        <v>9</v>
      </c>
    </row>
    <row r="42" spans="1:29" ht="28.5">
      <c r="A42" s="166"/>
      <c r="B42" s="51">
        <v>23</v>
      </c>
      <c r="C42" s="48" t="s">
        <v>78</v>
      </c>
      <c r="D42" s="185"/>
      <c r="E42" s="101"/>
      <c r="F42" s="183"/>
      <c r="G42" s="182"/>
      <c r="H42" s="178"/>
      <c r="I42" s="197"/>
      <c r="J42" s="204"/>
      <c r="K42" s="101"/>
      <c r="L42" s="102"/>
      <c r="M42" s="136"/>
      <c r="N42" s="137"/>
      <c r="O42" s="138"/>
      <c r="P42" s="196"/>
      <c r="Q42" s="190"/>
      <c r="R42" s="198"/>
      <c r="S42" s="212"/>
      <c r="T42" s="213"/>
      <c r="U42" s="138"/>
      <c r="V42" s="136"/>
      <c r="W42" s="137"/>
      <c r="X42" s="138"/>
      <c r="Y42" s="56">
        <f t="shared" si="27"/>
        <v>0</v>
      </c>
      <c r="Z42" s="56">
        <f t="shared" si="28"/>
        <v>0</v>
      </c>
      <c r="AA42" s="56">
        <f t="shared" si="29"/>
        <v>0</v>
      </c>
      <c r="AC42" s="220">
        <v>13</v>
      </c>
    </row>
    <row r="43" spans="1:29">
      <c r="A43" s="166"/>
      <c r="B43" s="51">
        <v>24</v>
      </c>
      <c r="C43" s="48" t="s">
        <v>79</v>
      </c>
      <c r="D43" s="188"/>
      <c r="E43" s="103"/>
      <c r="F43" s="187"/>
      <c r="G43" s="182"/>
      <c r="H43" s="178"/>
      <c r="I43" s="197"/>
      <c r="J43" s="50"/>
      <c r="K43" s="103"/>
      <c r="L43" s="104"/>
      <c r="M43" s="56"/>
      <c r="N43" s="133"/>
      <c r="O43" s="134"/>
      <c r="P43" s="196"/>
      <c r="Q43" s="190"/>
      <c r="R43" s="198"/>
      <c r="S43" s="212"/>
      <c r="T43" s="213"/>
      <c r="U43" s="138"/>
      <c r="V43" s="136"/>
      <c r="W43" s="137"/>
      <c r="X43" s="138"/>
      <c r="Y43" s="56">
        <f t="shared" si="27"/>
        <v>0</v>
      </c>
      <c r="Z43" s="56">
        <f t="shared" si="28"/>
        <v>0</v>
      </c>
      <c r="AA43" s="56">
        <f t="shared" si="29"/>
        <v>0</v>
      </c>
      <c r="AC43" s="220">
        <v>12</v>
      </c>
    </row>
    <row r="44" spans="1:29">
      <c r="B44" s="51"/>
      <c r="C44" s="125"/>
      <c r="D44" s="192"/>
      <c r="E44" s="192"/>
      <c r="F44" s="192"/>
      <c r="G44" s="177"/>
      <c r="H44" s="193"/>
      <c r="I44" s="205"/>
      <c r="J44" s="52"/>
      <c r="K44" s="51"/>
      <c r="L44" s="139"/>
      <c r="M44" s="89"/>
      <c r="N44" s="89"/>
      <c r="O44" s="89"/>
      <c r="P44" s="56"/>
      <c r="Q44" s="154"/>
      <c r="R44" s="155"/>
      <c r="S44" s="156"/>
      <c r="T44" s="156"/>
      <c r="U44" s="156"/>
      <c r="V44" s="136"/>
      <c r="W44" s="214"/>
      <c r="X44" s="215"/>
      <c r="Y44" s="52"/>
      <c r="Z44" s="51"/>
      <c r="AA44" s="139"/>
    </row>
    <row r="45" spans="1:29">
      <c r="B45" s="346" t="s">
        <v>80</v>
      </c>
      <c r="C45" s="347"/>
      <c r="D45" s="194">
        <f t="shared" ref="D45:G45" si="30">D36+D22+D16</f>
        <v>0</v>
      </c>
      <c r="E45" s="194">
        <f t="shared" si="30"/>
        <v>0</v>
      </c>
      <c r="F45" s="194">
        <f t="shared" si="30"/>
        <v>0</v>
      </c>
      <c r="G45" s="194">
        <f t="shared" si="30"/>
        <v>0</v>
      </c>
      <c r="H45" s="141">
        <f t="shared" ref="H45:O45" si="31">H36+H22+H16</f>
        <v>0</v>
      </c>
      <c r="I45" s="142">
        <f t="shared" si="31"/>
        <v>0</v>
      </c>
      <c r="J45" s="128">
        <f t="shared" si="31"/>
        <v>0</v>
      </c>
      <c r="K45" s="144">
        <f t="shared" si="31"/>
        <v>0</v>
      </c>
      <c r="L45" s="142">
        <f t="shared" si="31"/>
        <v>0</v>
      </c>
      <c r="M45" s="128">
        <f t="shared" si="31"/>
        <v>0</v>
      </c>
      <c r="N45" s="144">
        <f t="shared" si="31"/>
        <v>0</v>
      </c>
      <c r="O45" s="142">
        <f t="shared" si="31"/>
        <v>0</v>
      </c>
      <c r="P45" s="128">
        <f t="shared" ref="P45:X45" si="32">P36+P22+P16</f>
        <v>0</v>
      </c>
      <c r="Q45" s="128">
        <f t="shared" ref="Q45:V45" si="33">Q36+Q22+Q16</f>
        <v>0</v>
      </c>
      <c r="R45" s="128">
        <f t="shared" si="33"/>
        <v>0</v>
      </c>
      <c r="S45" s="128">
        <f t="shared" si="33"/>
        <v>0</v>
      </c>
      <c r="T45" s="128">
        <f t="shared" si="33"/>
        <v>0</v>
      </c>
      <c r="U45" s="128">
        <f t="shared" si="33"/>
        <v>0</v>
      </c>
      <c r="V45" s="216">
        <f t="shared" si="33"/>
        <v>0</v>
      </c>
      <c r="W45" s="217">
        <f t="shared" si="32"/>
        <v>0</v>
      </c>
      <c r="X45" s="218">
        <f t="shared" si="32"/>
        <v>0</v>
      </c>
      <c r="Y45" s="128">
        <f>+Y36+Y22+Y16</f>
        <v>0</v>
      </c>
      <c r="Z45" s="128">
        <f t="shared" ref="Z45:AA45" si="34">+Z36+Z22+Z16</f>
        <v>0</v>
      </c>
      <c r="AA45" s="128">
        <f t="shared" si="34"/>
        <v>0</v>
      </c>
      <c r="AB45">
        <f>+AA36+AA22+AA16</f>
        <v>0</v>
      </c>
    </row>
    <row r="46" spans="1:29" hidden="1">
      <c r="M46" s="146"/>
      <c r="N46" s="146"/>
      <c r="O46" s="146"/>
      <c r="P46" s="150">
        <v>868732</v>
      </c>
      <c r="V46" s="219">
        <v>673435</v>
      </c>
    </row>
    <row r="47" spans="1:29" hidden="1"/>
    <row r="49" spans="16:25">
      <c r="P49" s="206"/>
      <c r="Y49" s="206">
        <f>+S45+P45+M45+J45+G45+D45</f>
        <v>0</v>
      </c>
    </row>
    <row r="50" spans="16:25">
      <c r="Y50" s="162"/>
    </row>
    <row r="51" spans="16:25">
      <c r="Y51" s="163"/>
    </row>
    <row r="53" spans="16:25">
      <c r="Y53" s="221"/>
    </row>
  </sheetData>
  <mergeCells count="24">
    <mergeCell ref="B6:AB6"/>
    <mergeCell ref="B7:AB7"/>
    <mergeCell ref="B8:AB8"/>
    <mergeCell ref="B9:AB9"/>
    <mergeCell ref="D12:I12"/>
    <mergeCell ref="J12:L12"/>
    <mergeCell ref="P12:R12"/>
    <mergeCell ref="V12:X12"/>
    <mergeCell ref="Y12:AA12"/>
    <mergeCell ref="T13:U13"/>
    <mergeCell ref="W13:X13"/>
    <mergeCell ref="Z13:AA13"/>
    <mergeCell ref="B45:C45"/>
    <mergeCell ref="B12:B14"/>
    <mergeCell ref="C12:C14"/>
    <mergeCell ref="D13:D14"/>
    <mergeCell ref="G13:G14"/>
    <mergeCell ref="M13:M14"/>
    <mergeCell ref="S13:S14"/>
    <mergeCell ref="E13:F13"/>
    <mergeCell ref="H13:I13"/>
    <mergeCell ref="K13:L13"/>
    <mergeCell ref="N13:O13"/>
    <mergeCell ref="Q13:R13"/>
  </mergeCells>
  <printOptions horizontalCentered="1"/>
  <pageMargins left="1.10625" right="0.35416666666666702" top="0.98402777777777795" bottom="0.98402777777777795" header="0.51180555555555596" footer="0.51180555555555596"/>
  <pageSetup paperSize="9" scale="36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9218" r:id="rId4">
          <objectPr defaultSize="0" altText="" r:id="rId5">
            <anchor moveWithCells="1" sizeWithCells="1">
              <from>
                <xdr:col>8</xdr:col>
                <xdr:colOff>142875</xdr:colOff>
                <xdr:row>0</xdr:row>
                <xdr:rowOff>85725</xdr:rowOff>
              </from>
              <to>
                <xdr:col>9</xdr:col>
                <xdr:colOff>504825</xdr:colOff>
                <xdr:row>4</xdr:row>
                <xdr:rowOff>133350</xdr:rowOff>
              </to>
            </anchor>
          </objectPr>
        </oleObject>
      </mc:Choice>
      <mc:Fallback>
        <oleObject progId="PBrush" shapeId="921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15</vt:i4>
      </vt:variant>
    </vt:vector>
  </HeadingPairs>
  <TitlesOfParts>
    <vt:vector size="26" baseType="lpstr">
      <vt:lpstr>Per Tw</vt:lpstr>
      <vt:lpstr>Target &amp; Realisasi</vt:lpstr>
      <vt:lpstr>PMDN sektor</vt:lpstr>
      <vt:lpstr>PMDN LOKASI</vt:lpstr>
      <vt:lpstr>PMA PERLOKASI</vt:lpstr>
      <vt:lpstr>PMA sektor</vt:lpstr>
      <vt:lpstr>PMA ASAL NEGARA</vt:lpstr>
      <vt:lpstr>total PMDN dan PMA LOKASI</vt:lpstr>
      <vt:lpstr>total PMDN&amp;Sektor sektor</vt:lpstr>
      <vt:lpstr>total PMDN dan PMA LOKASIPROYEK</vt:lpstr>
      <vt:lpstr>Sheet1</vt:lpstr>
      <vt:lpstr>'Per Tw'!Print_Area</vt:lpstr>
      <vt:lpstr>'PMA ASAL NEGARA'!Print_Area</vt:lpstr>
      <vt:lpstr>'PMA PERLOKASI'!Print_Area</vt:lpstr>
      <vt:lpstr>'PMA sektor'!Print_Area</vt:lpstr>
      <vt:lpstr>'PMDN LOKASI'!Print_Area</vt:lpstr>
      <vt:lpstr>'PMDN sektor'!Print_Area</vt:lpstr>
      <vt:lpstr>'Target &amp; Realisasi'!Print_Area</vt:lpstr>
      <vt:lpstr>'total PMDN dan PMA LOKASI'!Print_Area</vt:lpstr>
      <vt:lpstr>'total PMDN&amp;Sektor sektor'!Print_Area</vt:lpstr>
      <vt:lpstr>'PMA ASAL NEGARA'!Print_Titles</vt:lpstr>
      <vt:lpstr>'PMA sektor'!Print_Titles</vt:lpstr>
      <vt:lpstr>'PMDN sektor'!Print_Titles</vt:lpstr>
      <vt:lpstr>'total PMDN dan PMA LOKASI'!Print_Titles</vt:lpstr>
      <vt:lpstr>'total PMDN dan PMA LOKASIPROYEK'!Print_Titles</vt:lpstr>
      <vt:lpstr>'total PMDN&amp;Sektor sektor'!Print_Titles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2023-06-07T02:16:00Z</cp:lastPrinted>
  <dcterms:created xsi:type="dcterms:W3CDTF">2020-07-24T01:26:00Z</dcterms:created>
  <dcterms:modified xsi:type="dcterms:W3CDTF">2024-05-12T11:50:06Z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1033-12.2.0.16731</vt:lpwstr>
  </property>
  <property fmtid="{D5CDD505-2E9C-101B-9397-08002B2CF9AE}" pid="3" name="ICV">
    <vt:lpwstr>FF2E30B1543A490E84061776F50B5035_13</vt:lpwstr>
  </property>
</Properties>
</file>